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rabir\Documents\Projects\ICLEI GHG protocol\GHG inventory spreadsheet_Montgomery\"/>
    </mc:Choice>
  </mc:AlternateContent>
  <xr:revisionPtr revIDLastSave="0" documentId="8_{116D2519-18F9-4C53-BA23-ADE388D82774}" xr6:coauthVersionLast="45" xr6:coauthVersionMax="45" xr10:uidLastSave="{00000000-0000-0000-0000-000000000000}"/>
  <bookViews>
    <workbookView xWindow="-110" yWindow="-110" windowWidth="19420" windowHeight="10420" firstSheet="1" activeTab="3" xr2:uid="{5512507A-A4C4-4D6C-B616-0075C072EF0A}"/>
  </bookViews>
  <sheets>
    <sheet name="Intro" sheetId="1" r:id="rId1"/>
    <sheet name="1. Stratification" sheetId="2" r:id="rId2"/>
    <sheet name="2a. Forest AD" sheetId="3" r:id="rId3"/>
    <sheet name="2b. TOF AD" sheetId="11" r:id="rId4"/>
    <sheet name="3a. Forest EF_RF" sheetId="4" r:id="rId5"/>
    <sheet name="3b. TOF EF_RF" sheetId="10" r:id="rId6"/>
    <sheet name="4a. Forest C &amp; CO2 calcs" sheetId="5" r:id="rId7"/>
    <sheet name="4b. TOF calcs" sheetId="9" r:id="rId8"/>
    <sheet name="4c. F to NF correction" sheetId="12" r:id="rId9"/>
    <sheet name="5. Other calcs" sheetId="6" r:id="rId10"/>
    <sheet name="6. HWP calcs" sheetId="7" r:id="rId11"/>
    <sheet name="7. Summary" sheetId="8"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1" i="11" l="1"/>
  <c r="D144" i="8"/>
  <c r="B143" i="8"/>
  <c r="B113" i="8" l="1"/>
  <c r="E449" i="4" l="1"/>
  <c r="E446" i="4"/>
  <c r="R110" i="11" l="1"/>
  <c r="Q110" i="11"/>
  <c r="P110" i="11"/>
  <c r="O110" i="11"/>
  <c r="N110" i="11"/>
  <c r="M110" i="11"/>
  <c r="L110" i="11"/>
  <c r="K110" i="11"/>
  <c r="J110" i="11"/>
  <c r="I110" i="11"/>
  <c r="H110" i="11"/>
  <c r="G110" i="11"/>
  <c r="F110" i="11"/>
  <c r="E110" i="11"/>
  <c r="D110" i="11"/>
  <c r="C110" i="11"/>
  <c r="E40" i="6" l="1"/>
  <c r="D40" i="6"/>
  <c r="C40" i="6"/>
  <c r="B40" i="6"/>
  <c r="B48" i="6" l="1"/>
  <c r="B163" i="8" l="1"/>
  <c r="J74" i="7" l="1"/>
  <c r="E51" i="7"/>
  <c r="D51" i="7"/>
  <c r="C51" i="7"/>
  <c r="B51" i="7"/>
  <c r="G32" i="10" l="1"/>
  <c r="F31" i="10"/>
  <c r="E30" i="10"/>
  <c r="D29" i="10"/>
  <c r="C28" i="10"/>
  <c r="J47" i="10"/>
  <c r="G20" i="10" s="1"/>
  <c r="H47" i="10"/>
  <c r="E18" i="10" s="1"/>
  <c r="F47" i="10"/>
  <c r="D17" i="10" s="1"/>
  <c r="F19" i="10"/>
  <c r="D47" i="10"/>
  <c r="C16" i="10" s="1"/>
  <c r="J87" i="10"/>
  <c r="J86" i="10"/>
  <c r="J85" i="10"/>
  <c r="J84" i="10"/>
  <c r="J83" i="10"/>
  <c r="J82" i="10"/>
  <c r="J81" i="10"/>
  <c r="J80" i="10"/>
  <c r="J79" i="10"/>
  <c r="J78" i="10"/>
  <c r="J77" i="10"/>
  <c r="J76" i="10"/>
  <c r="J75" i="10"/>
  <c r="J74" i="10"/>
  <c r="J73" i="10"/>
  <c r="H87" i="10"/>
  <c r="H86" i="10"/>
  <c r="H85" i="10"/>
  <c r="H84" i="10"/>
  <c r="H83" i="10"/>
  <c r="H82" i="10"/>
  <c r="H81" i="10"/>
  <c r="H80" i="10"/>
  <c r="H79" i="10"/>
  <c r="H78" i="10"/>
  <c r="H77" i="10"/>
  <c r="H76" i="10"/>
  <c r="H75" i="10"/>
  <c r="H74" i="10"/>
  <c r="H73" i="10"/>
  <c r="F87" i="10"/>
  <c r="F86" i="10"/>
  <c r="F85" i="10"/>
  <c r="F84" i="10"/>
  <c r="F83" i="10"/>
  <c r="F82" i="10"/>
  <c r="F81" i="10"/>
  <c r="F80" i="10"/>
  <c r="F79" i="10"/>
  <c r="F78" i="10"/>
  <c r="F77" i="10"/>
  <c r="F76" i="10"/>
  <c r="F75" i="10"/>
  <c r="F74" i="10"/>
  <c r="F73" i="10"/>
  <c r="D87" i="10"/>
  <c r="D86" i="10"/>
  <c r="D85" i="10"/>
  <c r="D84" i="10"/>
  <c r="D83" i="10"/>
  <c r="D82" i="10"/>
  <c r="D81" i="10"/>
  <c r="D80" i="10"/>
  <c r="D79" i="10"/>
  <c r="D78" i="10"/>
  <c r="D77" i="10"/>
  <c r="D76" i="10"/>
  <c r="D75" i="10"/>
  <c r="D74" i="10"/>
  <c r="J61" i="10"/>
  <c r="J60" i="10"/>
  <c r="J59" i="10"/>
  <c r="J58" i="10"/>
  <c r="J57" i="10"/>
  <c r="J56" i="10"/>
  <c r="J55" i="10"/>
  <c r="J54" i="10"/>
  <c r="J53" i="10"/>
  <c r="J52" i="10"/>
  <c r="J51" i="10"/>
  <c r="J50" i="10"/>
  <c r="J49" i="10"/>
  <c r="H61" i="10"/>
  <c r="H60" i="10"/>
  <c r="H59" i="10"/>
  <c r="H58" i="10"/>
  <c r="H57" i="10"/>
  <c r="H56" i="10"/>
  <c r="H55" i="10"/>
  <c r="H54" i="10"/>
  <c r="H53" i="10"/>
  <c r="H52" i="10"/>
  <c r="H51" i="10"/>
  <c r="H50" i="10"/>
  <c r="H49" i="10"/>
  <c r="F61" i="10"/>
  <c r="F60" i="10"/>
  <c r="F59" i="10"/>
  <c r="F58" i="10"/>
  <c r="F57" i="10"/>
  <c r="F56" i="10"/>
  <c r="F55" i="10"/>
  <c r="F54" i="10"/>
  <c r="F53" i="10"/>
  <c r="F52" i="10"/>
  <c r="F51" i="10"/>
  <c r="F50" i="10"/>
  <c r="F49" i="10"/>
  <c r="D61" i="10"/>
  <c r="D60" i="10"/>
  <c r="D59" i="10"/>
  <c r="D58" i="10"/>
  <c r="D57" i="10"/>
  <c r="D56" i="10"/>
  <c r="D55" i="10"/>
  <c r="D54" i="10"/>
  <c r="D53" i="10"/>
  <c r="D52" i="10"/>
  <c r="D51" i="10"/>
  <c r="E447" i="4" l="1"/>
  <c r="F343" i="4" l="1"/>
  <c r="F337" i="4"/>
  <c r="F306" i="4"/>
  <c r="F300" i="4"/>
  <c r="F269" i="4"/>
  <c r="F263" i="4"/>
  <c r="F232" i="4"/>
  <c r="F226" i="4"/>
  <c r="C150" i="4" l="1"/>
  <c r="C149" i="4"/>
  <c r="C148" i="4"/>
  <c r="E377" i="4" l="1"/>
  <c r="E376" i="4"/>
  <c r="E375" i="4"/>
  <c r="E374" i="4"/>
  <c r="E373" i="4"/>
  <c r="E372" i="4"/>
  <c r="E371" i="4"/>
  <c r="E370" i="4"/>
  <c r="E369" i="4"/>
  <c r="E368" i="4"/>
  <c r="F367" i="4"/>
  <c r="E367" i="4"/>
  <c r="C448" i="4" l="1"/>
  <c r="C198" i="4"/>
  <c r="J168" i="4"/>
  <c r="C22" i="6"/>
  <c r="C202" i="4"/>
  <c r="C452" i="4"/>
  <c r="J172" i="4"/>
  <c r="C25" i="6"/>
  <c r="C199" i="4"/>
  <c r="E197" i="4" s="1"/>
  <c r="C449" i="4"/>
  <c r="J169" i="4"/>
  <c r="C23" i="6"/>
  <c r="C203" i="4"/>
  <c r="C453" i="4"/>
  <c r="J173" i="4"/>
  <c r="C27" i="6"/>
  <c r="C196" i="4"/>
  <c r="C446" i="4"/>
  <c r="J166" i="4"/>
  <c r="C24" i="6"/>
  <c r="C450" i="4"/>
  <c r="J170" i="4"/>
  <c r="C200" i="4"/>
  <c r="C21" i="6"/>
  <c r="C454" i="4"/>
  <c r="J174" i="4"/>
  <c r="C204" i="4"/>
  <c r="C447" i="4"/>
  <c r="J167" i="4"/>
  <c r="C197" i="4"/>
  <c r="C451" i="4"/>
  <c r="J171" i="4"/>
  <c r="C201" i="4"/>
  <c r="E199" i="4" s="1"/>
  <c r="C455" i="4"/>
  <c r="J175" i="4"/>
  <c r="C205" i="4"/>
  <c r="F127" i="4"/>
  <c r="C26" i="6"/>
  <c r="D356" i="4"/>
  <c r="D354" i="4"/>
  <c r="D351" i="4"/>
  <c r="D347" i="4"/>
  <c r="D343" i="4"/>
  <c r="D340" i="4"/>
  <c r="D336" i="4"/>
  <c r="D332" i="4"/>
  <c r="D329" i="4"/>
  <c r="D348" i="4"/>
  <c r="D330" i="4"/>
  <c r="D353" i="4"/>
  <c r="D350" i="4"/>
  <c r="D346" i="4"/>
  <c r="D342" i="4"/>
  <c r="D339" i="4"/>
  <c r="D335" i="4"/>
  <c r="D357" i="4"/>
  <c r="D355" i="4"/>
  <c r="D349" i="4"/>
  <c r="D345" i="4"/>
  <c r="D341" i="4"/>
  <c r="D338" i="4"/>
  <c r="D334" i="4"/>
  <c r="D331" i="4"/>
  <c r="D328" i="4"/>
  <c r="D352" i="4"/>
  <c r="D344" i="4"/>
  <c r="D337" i="4"/>
  <c r="D333" i="4"/>
  <c r="F297" i="4"/>
  <c r="F334" i="4"/>
  <c r="D319" i="4"/>
  <c r="D317" i="4"/>
  <c r="D313" i="4"/>
  <c r="D309" i="4"/>
  <c r="D306" i="4"/>
  <c r="D302" i="4"/>
  <c r="D298" i="4"/>
  <c r="D294" i="4"/>
  <c r="D303" i="4"/>
  <c r="D291" i="4"/>
  <c r="D316" i="4"/>
  <c r="D312" i="4"/>
  <c r="D308" i="4"/>
  <c r="D305" i="4"/>
  <c r="D301" i="4"/>
  <c r="D297" i="4"/>
  <c r="D293" i="4"/>
  <c r="D314" i="4"/>
  <c r="D310" i="4"/>
  <c r="D320" i="4"/>
  <c r="D318" i="4"/>
  <c r="D315" i="4"/>
  <c r="D311" i="4"/>
  <c r="D307" i="4"/>
  <c r="D304" i="4"/>
  <c r="D300" i="4"/>
  <c r="D296" i="4"/>
  <c r="D292" i="4"/>
  <c r="D299" i="4"/>
  <c r="D295" i="4"/>
  <c r="F223" i="4"/>
  <c r="F260" i="4"/>
  <c r="D282" i="4"/>
  <c r="D280" i="4"/>
  <c r="D276" i="4"/>
  <c r="D272" i="4"/>
  <c r="D269" i="4"/>
  <c r="D265" i="4"/>
  <c r="D261" i="4"/>
  <c r="D257" i="4"/>
  <c r="D281" i="4"/>
  <c r="D270" i="4"/>
  <c r="D263" i="4"/>
  <c r="D279" i="4"/>
  <c r="D275" i="4"/>
  <c r="D271" i="4"/>
  <c r="D268" i="4"/>
  <c r="D264" i="4"/>
  <c r="D260" i="4"/>
  <c r="D256" i="4"/>
  <c r="D283" i="4"/>
  <c r="D278" i="4"/>
  <c r="D274" i="4"/>
  <c r="D267" i="4"/>
  <c r="D259" i="4"/>
  <c r="D255" i="4"/>
  <c r="D277" i="4"/>
  <c r="D273" i="4"/>
  <c r="D266" i="4"/>
  <c r="D262" i="4"/>
  <c r="D258" i="4"/>
  <c r="D254" i="4"/>
  <c r="D245" i="4"/>
  <c r="D241" i="4"/>
  <c r="D237" i="4"/>
  <c r="D233" i="4"/>
  <c r="D229" i="4"/>
  <c r="D225" i="4"/>
  <c r="D221" i="4"/>
  <c r="D217" i="4"/>
  <c r="D147" i="4"/>
  <c r="D143" i="4"/>
  <c r="D139" i="4"/>
  <c r="D135" i="4"/>
  <c r="D131" i="4"/>
  <c r="D127" i="4"/>
  <c r="D123" i="4"/>
  <c r="D244" i="4"/>
  <c r="D240" i="4"/>
  <c r="D236" i="4"/>
  <c r="D232" i="4"/>
  <c r="D228" i="4"/>
  <c r="D224" i="4"/>
  <c r="D220" i="4"/>
  <c r="D150" i="4"/>
  <c r="D146" i="4"/>
  <c r="D142" i="4"/>
  <c r="D138" i="4"/>
  <c r="D134" i="4"/>
  <c r="D130" i="4"/>
  <c r="D126" i="4"/>
  <c r="D243" i="4"/>
  <c r="D239" i="4"/>
  <c r="D235" i="4"/>
  <c r="D231" i="4"/>
  <c r="D227" i="4"/>
  <c r="D223" i="4"/>
  <c r="D219" i="4"/>
  <c r="D149" i="4"/>
  <c r="D145" i="4"/>
  <c r="D141" i="4"/>
  <c r="D137" i="4"/>
  <c r="D133" i="4"/>
  <c r="D129" i="4"/>
  <c r="D125" i="4"/>
  <c r="D121" i="4"/>
  <c r="D246" i="4"/>
  <c r="D242" i="4"/>
  <c r="D238" i="4"/>
  <c r="D234" i="4"/>
  <c r="D230" i="4"/>
  <c r="D226" i="4"/>
  <c r="D222" i="4"/>
  <c r="D218" i="4"/>
  <c r="D148" i="4"/>
  <c r="D144" i="4"/>
  <c r="D140" i="4"/>
  <c r="D136" i="4"/>
  <c r="D132" i="4"/>
  <c r="D128" i="4"/>
  <c r="D124" i="4"/>
  <c r="D122" i="4"/>
  <c r="F121" i="4"/>
  <c r="F145" i="4"/>
  <c r="F124" i="4"/>
  <c r="F133" i="4"/>
  <c r="F139" i="4"/>
  <c r="F148" i="4"/>
  <c r="F368" i="4"/>
  <c r="F369" i="4"/>
  <c r="F142" i="4"/>
  <c r="C28" i="6" l="1"/>
  <c r="D21" i="6" s="1"/>
  <c r="E294" i="4"/>
  <c r="H167" i="4" s="1"/>
  <c r="M167" i="4" s="1"/>
  <c r="E309" i="4"/>
  <c r="H172" i="4" s="1"/>
  <c r="M172" i="4" s="1"/>
  <c r="E198" i="4"/>
  <c r="E448" i="4"/>
  <c r="E196" i="4"/>
  <c r="E297" i="4"/>
  <c r="H168" i="4" s="1"/>
  <c r="M168" i="4" s="1"/>
  <c r="E334" i="4"/>
  <c r="I168" i="4" s="1"/>
  <c r="N168" i="4" s="1"/>
  <c r="E315" i="4"/>
  <c r="H174" i="4" s="1"/>
  <c r="M174" i="4" s="1"/>
  <c r="E238" i="4"/>
  <c r="F173" i="4" s="1"/>
  <c r="K173" i="4" s="1"/>
  <c r="F312" i="4"/>
  <c r="F349" i="4"/>
  <c r="F309" i="4"/>
  <c r="F346" i="4"/>
  <c r="F291" i="4"/>
  <c r="F328" i="4"/>
  <c r="E352" i="4"/>
  <c r="I174" i="4" s="1"/>
  <c r="N174" i="4" s="1"/>
  <c r="E337" i="4"/>
  <c r="E355" i="4"/>
  <c r="I175" i="4" s="1"/>
  <c r="N175" i="4" s="1"/>
  <c r="F315" i="4"/>
  <c r="F352" i="4"/>
  <c r="F303" i="4"/>
  <c r="F340" i="4"/>
  <c r="E358" i="4"/>
  <c r="E328" i="4"/>
  <c r="E346" i="4"/>
  <c r="I172" i="4" s="1"/>
  <c r="N172" i="4" s="1"/>
  <c r="E340" i="4"/>
  <c r="I170" i="4" s="1"/>
  <c r="N170" i="4" s="1"/>
  <c r="F318" i="4"/>
  <c r="F355" i="4"/>
  <c r="F294" i="4"/>
  <c r="F331" i="4"/>
  <c r="E331" i="4"/>
  <c r="E349" i="4"/>
  <c r="I173" i="4" s="1"/>
  <c r="N173" i="4" s="1"/>
  <c r="E343" i="4"/>
  <c r="E300" i="4"/>
  <c r="E312" i="4"/>
  <c r="H173" i="4" s="1"/>
  <c r="M173" i="4" s="1"/>
  <c r="E235" i="4"/>
  <c r="F172" i="4" s="1"/>
  <c r="K172" i="4" s="1"/>
  <c r="E244" i="4"/>
  <c r="F175" i="4" s="1"/>
  <c r="K175" i="4" s="1"/>
  <c r="E321" i="4"/>
  <c r="E291" i="4"/>
  <c r="H166" i="4" s="1"/>
  <c r="M166" i="4" s="1"/>
  <c r="E223" i="4"/>
  <c r="F168" i="4" s="1"/>
  <c r="K168" i="4" s="1"/>
  <c r="E260" i="4"/>
  <c r="G168" i="4" s="1"/>
  <c r="L168" i="4" s="1"/>
  <c r="E281" i="4"/>
  <c r="G175" i="4" s="1"/>
  <c r="L175" i="4" s="1"/>
  <c r="E318" i="4"/>
  <c r="H175" i="4" s="1"/>
  <c r="M175" i="4" s="1"/>
  <c r="E303" i="4"/>
  <c r="H170" i="4" s="1"/>
  <c r="M170" i="4" s="1"/>
  <c r="E306" i="4"/>
  <c r="F229" i="4"/>
  <c r="F266" i="4"/>
  <c r="F220" i="4"/>
  <c r="F257" i="4"/>
  <c r="F244" i="4"/>
  <c r="F281" i="4"/>
  <c r="F241" i="4"/>
  <c r="F278" i="4"/>
  <c r="E278" i="4"/>
  <c r="G174" i="4" s="1"/>
  <c r="L174" i="4" s="1"/>
  <c r="E257" i="4"/>
  <c r="E272" i="4"/>
  <c r="G172" i="4" s="1"/>
  <c r="L172" i="4" s="1"/>
  <c r="E284" i="4"/>
  <c r="E254" i="4"/>
  <c r="E275" i="4"/>
  <c r="G173" i="4" s="1"/>
  <c r="L173" i="4" s="1"/>
  <c r="E269" i="4"/>
  <c r="F238" i="4"/>
  <c r="F275" i="4"/>
  <c r="F235" i="4"/>
  <c r="F272" i="4"/>
  <c r="F217" i="4"/>
  <c r="F254" i="4"/>
  <c r="E266" i="4"/>
  <c r="G170" i="4" s="1"/>
  <c r="L170" i="4" s="1"/>
  <c r="E263" i="4"/>
  <c r="G169" i="4" s="1"/>
  <c r="L169" i="4" s="1"/>
  <c r="E232" i="4"/>
  <c r="E247" i="4"/>
  <c r="E217" i="4"/>
  <c r="E226" i="4"/>
  <c r="E220" i="4"/>
  <c r="E241" i="4"/>
  <c r="F174" i="4" s="1"/>
  <c r="K174" i="4" s="1"/>
  <c r="E229" i="4"/>
  <c r="F170" i="4" s="1"/>
  <c r="K170" i="4" s="1"/>
  <c r="E148" i="4"/>
  <c r="E142" i="4"/>
  <c r="F370" i="4"/>
  <c r="E145" i="4"/>
  <c r="H294" i="4" l="1"/>
  <c r="F101" i="4" s="1"/>
  <c r="H171" i="4"/>
  <c r="M171" i="4" s="1"/>
  <c r="H292" i="4"/>
  <c r="D99" i="4" s="1"/>
  <c r="H169" i="4"/>
  <c r="M169" i="4" s="1"/>
  <c r="O175" i="4"/>
  <c r="O170" i="4"/>
  <c r="O174" i="4"/>
  <c r="H220" i="4"/>
  <c r="F171" i="4"/>
  <c r="K171" i="4" s="1"/>
  <c r="H331" i="4"/>
  <c r="I171" i="4"/>
  <c r="N171" i="4" s="1"/>
  <c r="H329" i="4"/>
  <c r="I169" i="4"/>
  <c r="N169" i="4" s="1"/>
  <c r="H218" i="4"/>
  <c r="F169" i="4"/>
  <c r="K169" i="4" s="1"/>
  <c r="H257" i="4"/>
  <c r="G171" i="4"/>
  <c r="L171" i="4" s="1"/>
  <c r="O168" i="4"/>
  <c r="O172" i="4"/>
  <c r="O173" i="4"/>
  <c r="H293" i="4"/>
  <c r="E100" i="4" s="1"/>
  <c r="H328" i="4"/>
  <c r="H291" i="4"/>
  <c r="C98" i="4" s="1"/>
  <c r="H330" i="4"/>
  <c r="H217" i="4"/>
  <c r="H256" i="4"/>
  <c r="H219" i="4"/>
  <c r="H254" i="4"/>
  <c r="D182" i="4" l="1"/>
  <c r="O169" i="4"/>
  <c r="D181" i="4" s="1"/>
  <c r="O171" i="4"/>
  <c r="D183" i="4" s="1"/>
  <c r="F174" i="8"/>
  <c r="E174" i="8"/>
  <c r="D174" i="8"/>
  <c r="C174" i="8"/>
  <c r="B174" i="8"/>
  <c r="F173" i="8"/>
  <c r="E173" i="8"/>
  <c r="D173" i="8"/>
  <c r="C173" i="8"/>
  <c r="B173" i="8"/>
  <c r="G79" i="11"/>
  <c r="F79" i="11"/>
  <c r="E79" i="11"/>
  <c r="D79" i="11"/>
  <c r="B84" i="11"/>
  <c r="B83" i="11"/>
  <c r="B82" i="11"/>
  <c r="B81" i="11"/>
  <c r="B80" i="11"/>
  <c r="G84" i="11"/>
  <c r="G43" i="8" s="1"/>
  <c r="F84" i="11"/>
  <c r="F43" i="8" s="1"/>
  <c r="E84" i="11"/>
  <c r="E43" i="8" s="1"/>
  <c r="D84" i="11"/>
  <c r="D43" i="8" s="1"/>
  <c r="C84" i="11"/>
  <c r="C43" i="8" s="1"/>
  <c r="G83" i="11"/>
  <c r="G42" i="8" s="1"/>
  <c r="F83" i="11"/>
  <c r="F42" i="8" s="1"/>
  <c r="E83" i="11"/>
  <c r="E42" i="8" s="1"/>
  <c r="D83" i="11"/>
  <c r="D42" i="8" s="1"/>
  <c r="C83" i="11"/>
  <c r="C42" i="8" s="1"/>
  <c r="G82" i="11"/>
  <c r="G41" i="8" s="1"/>
  <c r="F82" i="11"/>
  <c r="F41" i="8" s="1"/>
  <c r="E82" i="11"/>
  <c r="E41" i="8" s="1"/>
  <c r="D82" i="11"/>
  <c r="D41" i="8" s="1"/>
  <c r="C82" i="11"/>
  <c r="C41" i="8" s="1"/>
  <c r="G81" i="11"/>
  <c r="G40" i="8" s="1"/>
  <c r="F81" i="11"/>
  <c r="F40" i="8" s="1"/>
  <c r="E81" i="11"/>
  <c r="E40" i="8" s="1"/>
  <c r="D81" i="11"/>
  <c r="D40" i="8" s="1"/>
  <c r="C81" i="11"/>
  <c r="C40" i="8" s="1"/>
  <c r="G80" i="11"/>
  <c r="G39" i="8" s="1"/>
  <c r="F80" i="11"/>
  <c r="F39" i="8" s="1"/>
  <c r="E80" i="11"/>
  <c r="E39" i="8" s="1"/>
  <c r="D80" i="11"/>
  <c r="D39" i="8" s="1"/>
  <c r="C80" i="11"/>
  <c r="C39" i="8" s="1"/>
  <c r="C79" i="11"/>
  <c r="C44" i="8" l="1"/>
  <c r="L39" i="8" s="1"/>
  <c r="G44" i="8"/>
  <c r="L43" i="8" s="1"/>
  <c r="F44" i="8"/>
  <c r="L42" i="8" s="1"/>
  <c r="D44" i="8"/>
  <c r="L40" i="8" s="1"/>
  <c r="E44" i="8"/>
  <c r="L41" i="8" s="1"/>
  <c r="R111" i="11"/>
  <c r="T109" i="11"/>
  <c r="T32" i="11"/>
  <c r="R34" i="11"/>
  <c r="S16" i="11"/>
  <c r="M29" i="12" l="1"/>
  <c r="M32" i="12"/>
  <c r="B79" i="11" l="1"/>
  <c r="B85" i="11" l="1"/>
  <c r="H79" i="11"/>
  <c r="S97" i="11"/>
  <c r="S96" i="11"/>
  <c r="S95" i="11"/>
  <c r="S94" i="11"/>
  <c r="S58" i="11"/>
  <c r="S57" i="11"/>
  <c r="S56" i="11"/>
  <c r="S55" i="11"/>
  <c r="F71" i="11"/>
  <c r="E71" i="11"/>
  <c r="D71" i="11"/>
  <c r="C71" i="11"/>
  <c r="E65" i="8" l="1"/>
  <c r="D65" i="8"/>
  <c r="C65" i="8"/>
  <c r="B65" i="8"/>
  <c r="E64" i="8"/>
  <c r="K64" i="8" s="1"/>
  <c r="D64" i="8"/>
  <c r="K63" i="8" s="1"/>
  <c r="C64" i="8"/>
  <c r="B64" i="8"/>
  <c r="K61" i="8" s="1"/>
  <c r="F66" i="8"/>
  <c r="E66" i="8"/>
  <c r="D66" i="8"/>
  <c r="C66" i="8"/>
  <c r="B66" i="8"/>
  <c r="F39" i="6"/>
  <c r="F38" i="6"/>
  <c r="K62" i="8" l="1"/>
  <c r="K68" i="8" s="1"/>
  <c r="F68" i="8"/>
  <c r="F40" i="6"/>
  <c r="C16" i="6"/>
  <c r="C15" i="6"/>
  <c r="B16" i="6"/>
  <c r="B15" i="6"/>
  <c r="A40" i="11" l="1"/>
  <c r="B39" i="11"/>
  <c r="B33" i="11"/>
  <c r="A16" i="11"/>
  <c r="B15" i="11"/>
  <c r="G46" i="11"/>
  <c r="G21" i="8" s="1"/>
  <c r="F46" i="11"/>
  <c r="F21" i="8" s="1"/>
  <c r="E46" i="11"/>
  <c r="E21" i="8" s="1"/>
  <c r="D46" i="11"/>
  <c r="D21" i="8" s="1"/>
  <c r="D103" i="8" s="1"/>
  <c r="C46" i="11"/>
  <c r="C21" i="8" s="1"/>
  <c r="G45" i="11"/>
  <c r="G20" i="8" s="1"/>
  <c r="G102" i="8" s="1"/>
  <c r="F45" i="11"/>
  <c r="F20" i="8" s="1"/>
  <c r="E45" i="11"/>
  <c r="E20" i="8" s="1"/>
  <c r="E102" i="8" s="1"/>
  <c r="D45" i="11"/>
  <c r="D20" i="8" s="1"/>
  <c r="D102" i="8" s="1"/>
  <c r="C45" i="11"/>
  <c r="C20" i="8" s="1"/>
  <c r="C102" i="8" s="1"/>
  <c r="G44" i="11"/>
  <c r="G19" i="8" s="1"/>
  <c r="F44" i="11"/>
  <c r="F19" i="8" s="1"/>
  <c r="E44" i="11"/>
  <c r="E19" i="8" s="1"/>
  <c r="D44" i="11"/>
  <c r="D19" i="8" s="1"/>
  <c r="C44" i="11"/>
  <c r="C19" i="8" s="1"/>
  <c r="G43" i="11"/>
  <c r="G18" i="8" s="1"/>
  <c r="F43" i="11"/>
  <c r="F18" i="8" s="1"/>
  <c r="E43" i="11"/>
  <c r="E18" i="8" s="1"/>
  <c r="D43" i="11"/>
  <c r="D18" i="8" s="1"/>
  <c r="C43" i="11"/>
  <c r="C18" i="8" s="1"/>
  <c r="G42" i="11"/>
  <c r="F42" i="11"/>
  <c r="E42" i="11"/>
  <c r="D42" i="11"/>
  <c r="C42" i="11"/>
  <c r="R33" i="11"/>
  <c r="Q33" i="11"/>
  <c r="P33" i="11"/>
  <c r="O33" i="11"/>
  <c r="N33" i="11"/>
  <c r="M33" i="11"/>
  <c r="L33" i="11"/>
  <c r="K33" i="11"/>
  <c r="J33" i="11"/>
  <c r="I33" i="11"/>
  <c r="H33" i="11"/>
  <c r="G33" i="11"/>
  <c r="S32" i="11"/>
  <c r="S31" i="11"/>
  <c r="S30" i="11"/>
  <c r="S29" i="11"/>
  <c r="S28" i="11"/>
  <c r="S27" i="11"/>
  <c r="S26" i="11"/>
  <c r="S25" i="11"/>
  <c r="S24" i="11"/>
  <c r="S23" i="11"/>
  <c r="S22" i="11"/>
  <c r="S21" i="11"/>
  <c r="D391" i="4" l="1"/>
  <c r="I401" i="4" s="1"/>
  <c r="E17" i="8"/>
  <c r="E391" i="4"/>
  <c r="K410" i="4" s="1"/>
  <c r="F17" i="8"/>
  <c r="C391" i="4"/>
  <c r="F407" i="4" s="1"/>
  <c r="C17" i="8"/>
  <c r="F391" i="4"/>
  <c r="O401" i="4" s="1"/>
  <c r="G17" i="8"/>
  <c r="B391" i="4"/>
  <c r="G404" i="4" s="1"/>
  <c r="D17" i="8"/>
  <c r="D172" i="8"/>
  <c r="I407" i="4"/>
  <c r="I410" i="4"/>
  <c r="I404" i="4"/>
  <c r="H407" i="4"/>
  <c r="H410" i="4"/>
  <c r="H401" i="4"/>
  <c r="H404" i="4"/>
  <c r="C172" i="8"/>
  <c r="D410" i="4"/>
  <c r="F404" i="4"/>
  <c r="E404" i="4"/>
  <c r="D401" i="4"/>
  <c r="E410" i="4"/>
  <c r="F401" i="4"/>
  <c r="B172" i="8"/>
  <c r="G407" i="4"/>
  <c r="G410" i="4"/>
  <c r="T33" i="11"/>
  <c r="D47" i="11"/>
  <c r="H44" i="11"/>
  <c r="S34" i="11"/>
  <c r="F47" i="11"/>
  <c r="E47" i="11"/>
  <c r="C47" i="11"/>
  <c r="G47" i="11"/>
  <c r="H45" i="11"/>
  <c r="H46" i="11"/>
  <c r="H43" i="11"/>
  <c r="H42" i="11"/>
  <c r="F410" i="4" l="1"/>
  <c r="E401" i="4"/>
  <c r="E407" i="4"/>
  <c r="D407" i="4"/>
  <c r="D404" i="4"/>
  <c r="G401" i="4"/>
  <c r="E172" i="8"/>
  <c r="N410" i="4"/>
  <c r="L404" i="4"/>
  <c r="M410" i="4"/>
  <c r="N401" i="4"/>
  <c r="M404" i="4"/>
  <c r="L410" i="4"/>
  <c r="O407" i="4"/>
  <c r="M401" i="4"/>
  <c r="M407" i="4"/>
  <c r="O404" i="4"/>
  <c r="L401" i="4"/>
  <c r="J401" i="4"/>
  <c r="N404" i="4"/>
  <c r="O410" i="4"/>
  <c r="F172" i="8"/>
  <c r="J404" i="4"/>
  <c r="J407" i="4"/>
  <c r="J410" i="4"/>
  <c r="L407" i="4"/>
  <c r="N407" i="4"/>
  <c r="K401" i="4"/>
  <c r="K404" i="4"/>
  <c r="K407" i="4"/>
  <c r="H47" i="11"/>
  <c r="W32" i="8" l="1"/>
  <c r="W31" i="8"/>
  <c r="W30" i="8"/>
  <c r="W29" i="8"/>
  <c r="U16" i="3"/>
  <c r="U15" i="3"/>
  <c r="U14" i="3"/>
  <c r="U13" i="3"/>
  <c r="T16" i="3"/>
  <c r="T15" i="3"/>
  <c r="T14" i="3"/>
  <c r="T13" i="3"/>
  <c r="V16" i="3" l="1"/>
  <c r="V13" i="3"/>
  <c r="F49" i="3" s="1"/>
  <c r="V14" i="3"/>
  <c r="E50" i="3" s="1"/>
  <c r="L50" i="3" s="1"/>
  <c r="V15" i="3"/>
  <c r="D51" i="3" s="1"/>
  <c r="K51" i="3" s="1"/>
  <c r="C52" i="3"/>
  <c r="J52" i="3" s="1"/>
  <c r="D52" i="3"/>
  <c r="K52" i="3" s="1"/>
  <c r="E52" i="3"/>
  <c r="L52" i="3" s="1"/>
  <c r="F52" i="3"/>
  <c r="O38" i="12"/>
  <c r="N38" i="12"/>
  <c r="M38" i="12"/>
  <c r="L38" i="12"/>
  <c r="O37" i="12"/>
  <c r="N37" i="12"/>
  <c r="M37" i="12"/>
  <c r="L37" i="12"/>
  <c r="O36" i="12"/>
  <c r="N36" i="12"/>
  <c r="M36" i="12"/>
  <c r="L36" i="12"/>
  <c r="O32" i="12"/>
  <c r="N32" i="12"/>
  <c r="O31" i="12"/>
  <c r="N31" i="12"/>
  <c r="M31" i="12"/>
  <c r="O30" i="12"/>
  <c r="N30" i="12"/>
  <c r="M30" i="12"/>
  <c r="O29" i="12"/>
  <c r="N29" i="12"/>
  <c r="C49" i="3" l="1"/>
  <c r="J49" i="3" s="1"/>
  <c r="E49" i="3"/>
  <c r="L49" i="3" s="1"/>
  <c r="D49" i="3"/>
  <c r="K49" i="3" s="1"/>
  <c r="F50" i="3"/>
  <c r="F51" i="3"/>
  <c r="E51" i="3"/>
  <c r="L51" i="3" s="1"/>
  <c r="L53" i="3" s="1"/>
  <c r="D50" i="3"/>
  <c r="K50" i="3" s="1"/>
  <c r="K53" i="3" s="1"/>
  <c r="C51" i="3"/>
  <c r="J51" i="3" s="1"/>
  <c r="C50" i="3"/>
  <c r="J50" i="3" s="1"/>
  <c r="P30" i="12"/>
  <c r="I50" i="3" s="1"/>
  <c r="P29" i="12"/>
  <c r="I49" i="3" s="1"/>
  <c r="P32" i="12"/>
  <c r="I52" i="3" s="1"/>
  <c r="M52" i="3" s="1"/>
  <c r="P36" i="12"/>
  <c r="P37" i="12"/>
  <c r="P38" i="12"/>
  <c r="P31" i="12"/>
  <c r="I51" i="3" s="1"/>
  <c r="M51" i="3" l="1"/>
  <c r="M50" i="3"/>
  <c r="J53" i="3"/>
  <c r="I53" i="3"/>
  <c r="M49" i="3"/>
  <c r="P33" i="12"/>
  <c r="C16" i="8" s="1"/>
  <c r="A79" i="5" l="1"/>
  <c r="B78" i="5"/>
  <c r="A57" i="5"/>
  <c r="B56" i="5"/>
  <c r="A97" i="8" l="1"/>
  <c r="B96" i="8"/>
  <c r="P39" i="12"/>
  <c r="B17" i="8" s="1"/>
  <c r="K27" i="8" s="1"/>
  <c r="A102" i="5"/>
  <c r="B101" i="5"/>
  <c r="A84" i="8"/>
  <c r="B83" i="8"/>
  <c r="A71" i="8"/>
  <c r="B70" i="8"/>
  <c r="A15" i="8"/>
  <c r="B14" i="8"/>
  <c r="B36" i="8" l="1"/>
  <c r="L38" i="8" s="1"/>
  <c r="B47" i="8"/>
  <c r="A37" i="8"/>
  <c r="K38" i="8" s="1"/>
  <c r="A48" i="8"/>
  <c r="M15" i="8"/>
  <c r="V19" i="8"/>
  <c r="L15" i="8"/>
  <c r="V16" i="8"/>
  <c r="P40" i="12"/>
  <c r="W22" i="8" s="1"/>
  <c r="P34" i="12"/>
  <c r="W21" i="8" s="1"/>
  <c r="B48" i="3" l="1"/>
  <c r="B36" i="3" l="1"/>
  <c r="B16" i="8" s="1"/>
  <c r="A62" i="7" l="1"/>
  <c r="A61" i="7"/>
  <c r="A60" i="7"/>
  <c r="A59" i="7"/>
  <c r="A58" i="7"/>
  <c r="A57" i="7"/>
  <c r="A56" i="7"/>
  <c r="A55" i="7"/>
  <c r="A54" i="7"/>
  <c r="A53" i="7"/>
  <c r="F30" i="7"/>
  <c r="E30" i="7"/>
  <c r="D30" i="7"/>
  <c r="C30" i="7"/>
  <c r="F29" i="7"/>
  <c r="E29" i="7"/>
  <c r="D29" i="7"/>
  <c r="C29" i="7"/>
  <c r="F28" i="7"/>
  <c r="E28" i="7"/>
  <c r="D28" i="7"/>
  <c r="C28" i="7"/>
  <c r="F27" i="7"/>
  <c r="E27" i="7"/>
  <c r="D27" i="7"/>
  <c r="C27" i="7"/>
  <c r="F26" i="7"/>
  <c r="E26" i="7"/>
  <c r="D26" i="7"/>
  <c r="C26" i="7"/>
  <c r="F25" i="7"/>
  <c r="E25" i="7"/>
  <c r="D25" i="7"/>
  <c r="C25" i="7"/>
  <c r="F24" i="7"/>
  <c r="E24" i="7"/>
  <c r="D24" i="7"/>
  <c r="C24" i="7"/>
  <c r="F23" i="7"/>
  <c r="E23" i="7"/>
  <c r="D23" i="7"/>
  <c r="C23" i="7"/>
  <c r="F22" i="7"/>
  <c r="E22" i="7"/>
  <c r="D22" i="7"/>
  <c r="C22" i="7"/>
  <c r="F21" i="7"/>
  <c r="E21" i="7"/>
  <c r="D21" i="7"/>
  <c r="C21" i="7"/>
  <c r="E62" i="7"/>
  <c r="D62" i="7"/>
  <c r="C62" i="7"/>
  <c r="B62" i="7"/>
  <c r="E74" i="7"/>
  <c r="J73" i="7"/>
  <c r="E73" i="7"/>
  <c r="S109" i="11"/>
  <c r="G123" i="11"/>
  <c r="F123" i="11"/>
  <c r="F54" i="8" s="1"/>
  <c r="E123" i="11"/>
  <c r="E54" i="8" s="1"/>
  <c r="C123" i="11"/>
  <c r="C54" i="8" s="1"/>
  <c r="D122" i="11"/>
  <c r="D53" i="8" s="1"/>
  <c r="S106" i="11"/>
  <c r="S105" i="11"/>
  <c r="G122" i="11"/>
  <c r="G53" i="8" s="1"/>
  <c r="F122" i="11"/>
  <c r="E122" i="11"/>
  <c r="E53" i="8" s="1"/>
  <c r="C122" i="11"/>
  <c r="C53" i="8" s="1"/>
  <c r="E121" i="11"/>
  <c r="D121" i="11"/>
  <c r="D52" i="8" s="1"/>
  <c r="G120" i="11"/>
  <c r="G51" i="8" s="1"/>
  <c r="F120" i="11"/>
  <c r="F51" i="8" s="1"/>
  <c r="E120" i="11"/>
  <c r="E51" i="8" s="1"/>
  <c r="C120" i="11"/>
  <c r="C51" i="8" s="1"/>
  <c r="S99" i="11"/>
  <c r="E119" i="11"/>
  <c r="E50" i="8" s="1"/>
  <c r="A117" i="11"/>
  <c r="B116" i="11"/>
  <c r="A93" i="11"/>
  <c r="B92" i="11"/>
  <c r="D123" i="11"/>
  <c r="D54" i="8" s="1"/>
  <c r="D120" i="11"/>
  <c r="D119" i="11"/>
  <c r="D50" i="8" s="1"/>
  <c r="D11" i="9"/>
  <c r="A78" i="11"/>
  <c r="B77" i="11"/>
  <c r="R72" i="11"/>
  <c r="R71" i="11"/>
  <c r="Q71" i="11"/>
  <c r="P71" i="11"/>
  <c r="O71" i="11"/>
  <c r="N71" i="11"/>
  <c r="M71" i="11"/>
  <c r="L71" i="11"/>
  <c r="K71" i="11"/>
  <c r="J71" i="11"/>
  <c r="I71" i="11"/>
  <c r="H71" i="11"/>
  <c r="G71" i="11"/>
  <c r="B71" i="11"/>
  <c r="T70" i="11"/>
  <c r="S70" i="11"/>
  <c r="S69" i="11"/>
  <c r="S68" i="11"/>
  <c r="S67" i="11"/>
  <c r="S66" i="11"/>
  <c r="S65" i="11"/>
  <c r="S64" i="11"/>
  <c r="S63" i="11"/>
  <c r="S62" i="11"/>
  <c r="S61" i="11"/>
  <c r="S60" i="11"/>
  <c r="S59" i="11"/>
  <c r="S54" i="11"/>
  <c r="O39" i="9" l="1"/>
  <c r="O52" i="9" s="1"/>
  <c r="O65" i="9" s="1"/>
  <c r="F53" i="8"/>
  <c r="P40" i="9"/>
  <c r="P53" i="9" s="1"/>
  <c r="P66" i="9" s="1"/>
  <c r="G54" i="8"/>
  <c r="N38" i="9"/>
  <c r="N51" i="9" s="1"/>
  <c r="N64" i="9" s="1"/>
  <c r="E52" i="8"/>
  <c r="E55" i="8" s="1"/>
  <c r="M37" i="9"/>
  <c r="M50" i="9" s="1"/>
  <c r="M63" i="9" s="1"/>
  <c r="D51" i="8"/>
  <c r="D55" i="8" s="1"/>
  <c r="G24" i="9"/>
  <c r="D27" i="9"/>
  <c r="D23" i="9"/>
  <c r="F12" i="9"/>
  <c r="D14" i="9"/>
  <c r="G12" i="9"/>
  <c r="E14" i="9"/>
  <c r="E11" i="9"/>
  <c r="D12" i="9"/>
  <c r="G13" i="9"/>
  <c r="E15" i="9"/>
  <c r="E13" i="9"/>
  <c r="C15" i="9"/>
  <c r="G15" i="9"/>
  <c r="C12" i="9"/>
  <c r="F13" i="9"/>
  <c r="D15" i="9"/>
  <c r="F11" i="9"/>
  <c r="E12" i="9"/>
  <c r="D13" i="9"/>
  <c r="C14" i="9"/>
  <c r="G14" i="9"/>
  <c r="F15" i="9"/>
  <c r="C59" i="7"/>
  <c r="S107" i="11"/>
  <c r="S103" i="11"/>
  <c r="G121" i="11"/>
  <c r="G52" i="8" s="1"/>
  <c r="F121" i="11"/>
  <c r="F52" i="8" s="1"/>
  <c r="S102" i="11"/>
  <c r="H82" i="11"/>
  <c r="H41" i="8" s="1"/>
  <c r="K41" i="8" s="1"/>
  <c r="M41" i="8" s="1"/>
  <c r="M49" i="8" s="1"/>
  <c r="C121" i="11"/>
  <c r="C52" i="8" s="1"/>
  <c r="S100" i="11"/>
  <c r="G119" i="11"/>
  <c r="G50" i="8" s="1"/>
  <c r="F119" i="11"/>
  <c r="F50" i="8" s="1"/>
  <c r="F85" i="11"/>
  <c r="C85" i="11"/>
  <c r="G85" i="11"/>
  <c r="H81" i="11"/>
  <c r="H40" i="8" s="1"/>
  <c r="K40" i="8" s="1"/>
  <c r="M40" i="8" s="1"/>
  <c r="M48" i="8" s="1"/>
  <c r="H84" i="11"/>
  <c r="H43" i="8" s="1"/>
  <c r="K43" i="8" s="1"/>
  <c r="M43" i="8" s="1"/>
  <c r="M51" i="8" s="1"/>
  <c r="C13" i="9"/>
  <c r="F14" i="9"/>
  <c r="B55" i="7"/>
  <c r="B57" i="7"/>
  <c r="B59" i="7"/>
  <c r="B61" i="7"/>
  <c r="S98" i="11"/>
  <c r="C119" i="11"/>
  <c r="C53" i="7"/>
  <c r="C55" i="7"/>
  <c r="C57" i="7"/>
  <c r="C61" i="7"/>
  <c r="D85" i="11"/>
  <c r="E85" i="11"/>
  <c r="C11" i="9"/>
  <c r="G11" i="9"/>
  <c r="B53" i="7"/>
  <c r="B54" i="7"/>
  <c r="B56" i="7"/>
  <c r="B58" i="7"/>
  <c r="B60" i="7"/>
  <c r="C54" i="7"/>
  <c r="C56" i="7"/>
  <c r="C58" i="7"/>
  <c r="C60" i="7"/>
  <c r="D53" i="7"/>
  <c r="D54" i="7"/>
  <c r="D55" i="7"/>
  <c r="D56" i="7"/>
  <c r="D57" i="7"/>
  <c r="D58" i="7"/>
  <c r="D59" i="7"/>
  <c r="D60" i="7"/>
  <c r="D61" i="7"/>
  <c r="E53" i="7"/>
  <c r="E54" i="7"/>
  <c r="E55" i="7"/>
  <c r="E56" i="7"/>
  <c r="E57" i="7"/>
  <c r="E58" i="7"/>
  <c r="E59" i="7"/>
  <c r="E60" i="7"/>
  <c r="E61" i="7"/>
  <c r="E124" i="11"/>
  <c r="E24" i="9"/>
  <c r="F24" i="9"/>
  <c r="E25" i="9"/>
  <c r="C26" i="9"/>
  <c r="H123" i="11"/>
  <c r="H54" i="8" s="1"/>
  <c r="C27" i="9"/>
  <c r="F27" i="9"/>
  <c r="C24" i="9"/>
  <c r="E26" i="9"/>
  <c r="H120" i="11"/>
  <c r="H51" i="8" s="1"/>
  <c r="S104" i="11"/>
  <c r="S108" i="11"/>
  <c r="E23" i="9"/>
  <c r="D24" i="9"/>
  <c r="F26" i="9"/>
  <c r="E27" i="9"/>
  <c r="H122" i="11"/>
  <c r="H53" i="8" s="1"/>
  <c r="D25" i="9"/>
  <c r="G26" i="9"/>
  <c r="S101" i="11"/>
  <c r="D26" i="9"/>
  <c r="G27" i="9"/>
  <c r="D124" i="11"/>
  <c r="S72" i="11"/>
  <c r="H83" i="11"/>
  <c r="H42" i="8" s="1"/>
  <c r="K42" i="8" s="1"/>
  <c r="M42" i="8" s="1"/>
  <c r="M50" i="8" s="1"/>
  <c r="H80" i="11"/>
  <c r="T71" i="11"/>
  <c r="F55" i="8" l="1"/>
  <c r="L36" i="9"/>
  <c r="L49" i="9" s="1"/>
  <c r="C50" i="8"/>
  <c r="C55" i="8" s="1"/>
  <c r="G55" i="8"/>
  <c r="B47" i="6"/>
  <c r="F65" i="8" s="1"/>
  <c r="G65" i="8" s="1"/>
  <c r="H39" i="8"/>
  <c r="F23" i="9"/>
  <c r="C25" i="9"/>
  <c r="F25" i="9"/>
  <c r="G25" i="9"/>
  <c r="C124" i="11"/>
  <c r="G124" i="11"/>
  <c r="G23" i="9"/>
  <c r="H121" i="11"/>
  <c r="H52" i="8" s="1"/>
  <c r="F124" i="11"/>
  <c r="H119" i="11"/>
  <c r="H50" i="8" s="1"/>
  <c r="C23" i="9"/>
  <c r="D63" i="7"/>
  <c r="T110" i="11"/>
  <c r="B63" i="7"/>
  <c r="H85" i="11"/>
  <c r="S111" i="11"/>
  <c r="C63" i="7"/>
  <c r="E63" i="7"/>
  <c r="B46" i="6" l="1"/>
  <c r="F64" i="8" s="1"/>
  <c r="K65" i="8" s="1"/>
  <c r="K66" i="8" s="1"/>
  <c r="H55" i="8"/>
  <c r="K39" i="8"/>
  <c r="M39" i="8" s="1"/>
  <c r="H44" i="8"/>
  <c r="L62" i="9"/>
  <c r="H124" i="11"/>
  <c r="G79" i="7"/>
  <c r="J79" i="7"/>
  <c r="I79" i="7"/>
  <c r="H79" i="7"/>
  <c r="J80" i="7"/>
  <c r="I80" i="7"/>
  <c r="H80" i="7"/>
  <c r="G80" i="7"/>
  <c r="C80" i="7"/>
  <c r="B80" i="7"/>
  <c r="E80" i="7"/>
  <c r="D80" i="7"/>
  <c r="D79" i="7"/>
  <c r="C79" i="7"/>
  <c r="C81" i="7" s="1"/>
  <c r="E79" i="7"/>
  <c r="E81" i="7" s="1"/>
  <c r="B79" i="7"/>
  <c r="D73" i="10"/>
  <c r="D50" i="10"/>
  <c r="D49" i="10"/>
  <c r="A26" i="10"/>
  <c r="B25" i="10"/>
  <c r="A14" i="10"/>
  <c r="B13" i="10"/>
  <c r="R29" i="3"/>
  <c r="Q29" i="3"/>
  <c r="P29" i="3"/>
  <c r="O29" i="3"/>
  <c r="N29" i="3"/>
  <c r="M29" i="3"/>
  <c r="L29" i="3"/>
  <c r="K29" i="3"/>
  <c r="J29" i="3"/>
  <c r="I29" i="3"/>
  <c r="H29" i="3"/>
  <c r="G29" i="3"/>
  <c r="F29" i="3"/>
  <c r="E29" i="3"/>
  <c r="D29" i="3"/>
  <c r="C29" i="3"/>
  <c r="B41" i="3"/>
  <c r="B21" i="8" s="1"/>
  <c r="B40" i="3"/>
  <c r="B20" i="8" s="1"/>
  <c r="B39" i="3"/>
  <c r="B19" i="8" s="1"/>
  <c r="B38" i="3"/>
  <c r="B37" i="3"/>
  <c r="G36" i="3"/>
  <c r="G16" i="8" s="1"/>
  <c r="F36" i="3"/>
  <c r="E36" i="3"/>
  <c r="E16" i="8" s="1"/>
  <c r="D36" i="3"/>
  <c r="D16" i="8" s="1"/>
  <c r="C36" i="3"/>
  <c r="A35" i="5"/>
  <c r="B34" i="5"/>
  <c r="A35" i="3"/>
  <c r="B34" i="3"/>
  <c r="B42" i="2"/>
  <c r="S25" i="2"/>
  <c r="B47" i="2"/>
  <c r="A48" i="2"/>
  <c r="G64" i="8" l="1"/>
  <c r="G66" i="8" s="1"/>
  <c r="M47" i="8"/>
  <c r="M44" i="8"/>
  <c r="G22" i="8"/>
  <c r="H20" i="8"/>
  <c r="B102" i="8"/>
  <c r="H19" i="8"/>
  <c r="H21" i="8"/>
  <c r="E22" i="8"/>
  <c r="K28" i="8"/>
  <c r="I81" i="7"/>
  <c r="B42" i="3"/>
  <c r="B18" i="8"/>
  <c r="H17" i="8"/>
  <c r="F42" i="3"/>
  <c r="F16" i="8"/>
  <c r="C22" i="8"/>
  <c r="D22" i="8"/>
  <c r="B81" i="7"/>
  <c r="H81" i="7"/>
  <c r="G40" i="9"/>
  <c r="G53" i="9" s="1"/>
  <c r="E38" i="9"/>
  <c r="E51" i="9" s="1"/>
  <c r="F18" i="10"/>
  <c r="E19" i="10"/>
  <c r="E20" i="10"/>
  <c r="G18" i="10"/>
  <c r="C31" i="10"/>
  <c r="L39" i="9" s="1"/>
  <c r="C32" i="10"/>
  <c r="L40" i="9" s="1"/>
  <c r="E28" i="10"/>
  <c r="N36" i="9" s="1"/>
  <c r="C30" i="10"/>
  <c r="L38" i="9" s="1"/>
  <c r="D28" i="10"/>
  <c r="M36" i="9" s="1"/>
  <c r="C29" i="10"/>
  <c r="L37" i="9" s="1"/>
  <c r="F28" i="10"/>
  <c r="O36" i="9" s="1"/>
  <c r="C42" i="3"/>
  <c r="H39" i="3"/>
  <c r="H40" i="3"/>
  <c r="H41" i="3"/>
  <c r="F32" i="10"/>
  <c r="O40" i="9" s="1"/>
  <c r="O53" i="9" s="1"/>
  <c r="O66" i="9" s="1"/>
  <c r="G31" i="10"/>
  <c r="P39" i="9" s="1"/>
  <c r="P52" i="9" s="1"/>
  <c r="P65" i="9" s="1"/>
  <c r="F39" i="9"/>
  <c r="F52" i="9" s="1"/>
  <c r="F20" i="10"/>
  <c r="G19" i="10"/>
  <c r="D42" i="3"/>
  <c r="H37" i="3"/>
  <c r="E32" i="10"/>
  <c r="N40" i="9" s="1"/>
  <c r="N53" i="9" s="1"/>
  <c r="N66" i="9" s="1"/>
  <c r="G30" i="10"/>
  <c r="P38" i="9" s="1"/>
  <c r="P51" i="9" s="1"/>
  <c r="P64" i="9" s="1"/>
  <c r="F30" i="10"/>
  <c r="O38" i="9" s="1"/>
  <c r="O51" i="9" s="1"/>
  <c r="O64" i="9" s="1"/>
  <c r="E31" i="10"/>
  <c r="N39" i="9" s="1"/>
  <c r="N52" i="9" s="1"/>
  <c r="N65" i="9" s="1"/>
  <c r="F17" i="10"/>
  <c r="D37" i="9"/>
  <c r="D50" i="9" s="1"/>
  <c r="G17" i="10"/>
  <c r="D20" i="10"/>
  <c r="D19" i="10"/>
  <c r="E17" i="10"/>
  <c r="D18" i="10"/>
  <c r="C86" i="7"/>
  <c r="C91" i="7" s="1"/>
  <c r="C94" i="7" s="1"/>
  <c r="J81" i="7"/>
  <c r="E86" i="7" s="1"/>
  <c r="E91" i="7" s="1"/>
  <c r="E94" i="7" s="1"/>
  <c r="C36" i="9"/>
  <c r="C18" i="10"/>
  <c r="C19" i="10"/>
  <c r="F16" i="10"/>
  <c r="C20" i="10"/>
  <c r="D16" i="10"/>
  <c r="D36" i="9" s="1"/>
  <c r="D49" i="9" s="1"/>
  <c r="C17" i="10"/>
  <c r="E16" i="10"/>
  <c r="E36" i="9" s="1"/>
  <c r="E49" i="9" s="1"/>
  <c r="E42" i="3"/>
  <c r="D30" i="10"/>
  <c r="M38" i="9" s="1"/>
  <c r="M51" i="9" s="1"/>
  <c r="M64" i="9" s="1"/>
  <c r="G29" i="10"/>
  <c r="P37" i="9" s="1"/>
  <c r="P50" i="9" s="1"/>
  <c r="P63" i="9" s="1"/>
  <c r="E29" i="10"/>
  <c r="N37" i="9" s="1"/>
  <c r="N50" i="9" s="1"/>
  <c r="F29" i="10"/>
  <c r="O37" i="9" s="1"/>
  <c r="O50" i="9" s="1"/>
  <c r="O63" i="9" s="1"/>
  <c r="D31" i="10"/>
  <c r="M39" i="9" s="1"/>
  <c r="M52" i="9" s="1"/>
  <c r="D32" i="10"/>
  <c r="M40" i="9" s="1"/>
  <c r="M53" i="9" s="1"/>
  <c r="M66" i="9" s="1"/>
  <c r="D81" i="7"/>
  <c r="D86" i="7" s="1"/>
  <c r="D91" i="7" s="1"/>
  <c r="D94" i="7" s="1"/>
  <c r="B112" i="8" s="1"/>
  <c r="G81" i="7"/>
  <c r="H36" i="3"/>
  <c r="G28" i="9"/>
  <c r="F28" i="9"/>
  <c r="E28" i="9"/>
  <c r="D28" i="9"/>
  <c r="C28" i="9"/>
  <c r="G16" i="9"/>
  <c r="F16" i="9"/>
  <c r="E16" i="9"/>
  <c r="D16" i="9"/>
  <c r="C16" i="9"/>
  <c r="H15" i="9"/>
  <c r="H14" i="9"/>
  <c r="H13" i="9"/>
  <c r="H12" i="9"/>
  <c r="H11" i="9"/>
  <c r="H27" i="9"/>
  <c r="H26" i="9"/>
  <c r="H25" i="9"/>
  <c r="H24" i="9"/>
  <c r="H23" i="9"/>
  <c r="N114" i="8" l="1"/>
  <c r="B140" i="8"/>
  <c r="M19" i="8"/>
  <c r="L20" i="8"/>
  <c r="L19" i="8"/>
  <c r="M17" i="8"/>
  <c r="B22" i="8"/>
  <c r="M18" i="8"/>
  <c r="L17" i="8"/>
  <c r="L21" i="8"/>
  <c r="M21" i="8"/>
  <c r="F22" i="8"/>
  <c r="K29" i="8"/>
  <c r="K30" i="8"/>
  <c r="O49" i="9"/>
  <c r="O41" i="9"/>
  <c r="L50" i="9"/>
  <c r="Q37" i="9"/>
  <c r="L41" i="9"/>
  <c r="M65" i="9"/>
  <c r="M41" i="9"/>
  <c r="M49" i="9"/>
  <c r="L52" i="9"/>
  <c r="L65" i="9" s="1"/>
  <c r="Q39" i="9"/>
  <c r="N63" i="9"/>
  <c r="N49" i="9"/>
  <c r="N62" i="9" s="1"/>
  <c r="N41" i="9"/>
  <c r="Q40" i="9"/>
  <c r="L53" i="9"/>
  <c r="L51" i="9"/>
  <c r="Q38" i="9"/>
  <c r="F40" i="9"/>
  <c r="F53" i="9" s="1"/>
  <c r="F66" i="9" s="1"/>
  <c r="C39" i="9"/>
  <c r="C52" i="9" s="1"/>
  <c r="C65" i="9" s="1"/>
  <c r="H16" i="8"/>
  <c r="B86" i="7"/>
  <c r="B91" i="7" s="1"/>
  <c r="B94" i="7" s="1"/>
  <c r="G39" i="9"/>
  <c r="G52" i="9" s="1"/>
  <c r="G76" i="8" s="1"/>
  <c r="G89" i="8" s="1"/>
  <c r="G66" i="9"/>
  <c r="G77" i="8"/>
  <c r="G90" i="8" s="1"/>
  <c r="G103" i="8" s="1"/>
  <c r="F65" i="9"/>
  <c r="F76" i="8"/>
  <c r="F89" i="8" s="1"/>
  <c r="F102" i="8" s="1"/>
  <c r="D73" i="8"/>
  <c r="D86" i="8" s="1"/>
  <c r="D99" i="8" s="1"/>
  <c r="D62" i="9"/>
  <c r="E73" i="8"/>
  <c r="E86" i="8" s="1"/>
  <c r="E99" i="8" s="1"/>
  <c r="E62" i="9"/>
  <c r="D74" i="8"/>
  <c r="D87" i="8" s="1"/>
  <c r="D100" i="8" s="1"/>
  <c r="D63" i="9"/>
  <c r="E75" i="8"/>
  <c r="E88" i="8" s="1"/>
  <c r="E101" i="8" s="1"/>
  <c r="E64" i="9"/>
  <c r="W18" i="8"/>
  <c r="H18" i="8"/>
  <c r="W17" i="8"/>
  <c r="C38" i="9"/>
  <c r="C51" i="9" s="1"/>
  <c r="G37" i="9"/>
  <c r="G50" i="9" s="1"/>
  <c r="E39" i="9"/>
  <c r="E52" i="9" s="1"/>
  <c r="D38" i="9"/>
  <c r="D51" i="9" s="1"/>
  <c r="H28" i="9"/>
  <c r="C40" i="9"/>
  <c r="C53" i="9" s="1"/>
  <c r="E37" i="9"/>
  <c r="E50" i="9" s="1"/>
  <c r="F38" i="9"/>
  <c r="F36" i="9"/>
  <c r="F49" i="9" s="1"/>
  <c r="G16" i="10"/>
  <c r="D39" i="9"/>
  <c r="D52" i="9" s="1"/>
  <c r="F37" i="9"/>
  <c r="F50" i="9" s="1"/>
  <c r="G38" i="9"/>
  <c r="G51" i="9" s="1"/>
  <c r="C37" i="9"/>
  <c r="D40" i="9"/>
  <c r="D53" i="9" s="1"/>
  <c r="G28" i="10"/>
  <c r="P36" i="9" s="1"/>
  <c r="E40" i="9"/>
  <c r="E53" i="9" s="1"/>
  <c r="H16" i="9"/>
  <c r="C49" i="9"/>
  <c r="F8" i="5"/>
  <c r="E8" i="5"/>
  <c r="I412" i="4"/>
  <c r="H412" i="4"/>
  <c r="I409" i="4"/>
  <c r="H409" i="4"/>
  <c r="I406" i="4"/>
  <c r="H406" i="4"/>
  <c r="I403" i="4"/>
  <c r="H403" i="4"/>
  <c r="O412" i="4"/>
  <c r="N412" i="4"/>
  <c r="O409" i="4"/>
  <c r="N409" i="4"/>
  <c r="O406" i="4"/>
  <c r="N406" i="4"/>
  <c r="O403" i="4"/>
  <c r="N403" i="4"/>
  <c r="O411" i="4"/>
  <c r="N411" i="4"/>
  <c r="O408" i="4"/>
  <c r="N408" i="4"/>
  <c r="O405" i="4"/>
  <c r="N405" i="4"/>
  <c r="O402" i="4"/>
  <c r="N402" i="4"/>
  <c r="M412" i="4"/>
  <c r="L412" i="4"/>
  <c r="K412" i="4"/>
  <c r="J412" i="4"/>
  <c r="M409" i="4"/>
  <c r="L409" i="4"/>
  <c r="K409" i="4"/>
  <c r="J409" i="4"/>
  <c r="M406" i="4"/>
  <c r="L406" i="4"/>
  <c r="K406" i="4"/>
  <c r="J406" i="4"/>
  <c r="M403" i="4"/>
  <c r="L403" i="4"/>
  <c r="K403" i="4"/>
  <c r="J403" i="4"/>
  <c r="M411" i="4"/>
  <c r="L411" i="4"/>
  <c r="K411" i="4"/>
  <c r="J411" i="4"/>
  <c r="M408" i="4"/>
  <c r="L408" i="4"/>
  <c r="K408" i="4"/>
  <c r="J408" i="4"/>
  <c r="M405" i="4"/>
  <c r="L405" i="4"/>
  <c r="K405" i="4"/>
  <c r="J405" i="4"/>
  <c r="M402" i="4"/>
  <c r="L402" i="4"/>
  <c r="K402" i="4"/>
  <c r="J402" i="4"/>
  <c r="I402" i="4"/>
  <c r="I405" i="4"/>
  <c r="I408" i="4"/>
  <c r="I411" i="4"/>
  <c r="H411" i="4"/>
  <c r="H408" i="4"/>
  <c r="H405" i="4"/>
  <c r="H402" i="4"/>
  <c r="G412" i="4"/>
  <c r="G409" i="4"/>
  <c r="G406" i="4"/>
  <c r="G403" i="4"/>
  <c r="G411" i="4"/>
  <c r="G408" i="4"/>
  <c r="G405" i="4"/>
  <c r="G402" i="4"/>
  <c r="F412" i="4"/>
  <c r="E412" i="4"/>
  <c r="D412" i="4"/>
  <c r="F409" i="4"/>
  <c r="E409" i="4"/>
  <c r="D409" i="4"/>
  <c r="F406" i="4"/>
  <c r="E406" i="4"/>
  <c r="D406" i="4"/>
  <c r="F403" i="4"/>
  <c r="E403" i="4"/>
  <c r="D403" i="4"/>
  <c r="F411" i="4"/>
  <c r="E411" i="4"/>
  <c r="D411" i="4"/>
  <c r="F408" i="4"/>
  <c r="E408" i="4"/>
  <c r="D408" i="4"/>
  <c r="F405" i="4"/>
  <c r="E405" i="4"/>
  <c r="D405" i="4"/>
  <c r="F402" i="4"/>
  <c r="E402" i="4"/>
  <c r="D402" i="4"/>
  <c r="K21" i="8" l="1"/>
  <c r="N43" i="8" s="1"/>
  <c r="N51" i="8" s="1"/>
  <c r="K17" i="8"/>
  <c r="N39" i="8" s="1"/>
  <c r="N47" i="8" s="1"/>
  <c r="M20" i="8"/>
  <c r="K20" i="8" s="1"/>
  <c r="N42" i="8" s="1"/>
  <c r="N50" i="8" s="1"/>
  <c r="L18" i="8"/>
  <c r="K18" i="8" s="1"/>
  <c r="N40" i="8" s="1"/>
  <c r="N48" i="8" s="1"/>
  <c r="M16" i="8"/>
  <c r="K19" i="8"/>
  <c r="N41" i="8" s="1"/>
  <c r="N49" i="8" s="1"/>
  <c r="K31" i="8"/>
  <c r="L31" i="8" s="1"/>
  <c r="L16" i="8"/>
  <c r="W16" i="8"/>
  <c r="W19" i="8" s="1"/>
  <c r="Q51" i="9"/>
  <c r="Q64" i="9" s="1"/>
  <c r="L64" i="9"/>
  <c r="L63" i="9"/>
  <c r="Q50" i="9"/>
  <c r="Q63" i="9" s="1"/>
  <c r="L54" i="9"/>
  <c r="L67" i="9" s="1"/>
  <c r="P41" i="9"/>
  <c r="P49" i="9"/>
  <c r="Q49" i="9" s="1"/>
  <c r="Q53" i="9"/>
  <c r="Q66" i="9" s="1"/>
  <c r="L66" i="9"/>
  <c r="Q36" i="9"/>
  <c r="Q41" i="9" s="1"/>
  <c r="Q52" i="9"/>
  <c r="Q65" i="9" s="1"/>
  <c r="N54" i="9"/>
  <c r="N67" i="9" s="1"/>
  <c r="M62" i="9"/>
  <c r="M54" i="9"/>
  <c r="M67" i="9" s="1"/>
  <c r="O54" i="9"/>
  <c r="O67" i="9" s="1"/>
  <c r="O62" i="9"/>
  <c r="F77" i="8"/>
  <c r="F90" i="8" s="1"/>
  <c r="F103" i="8" s="1"/>
  <c r="C76" i="8"/>
  <c r="C89" i="8" s="1"/>
  <c r="H39" i="9"/>
  <c r="G65" i="9"/>
  <c r="H22" i="8"/>
  <c r="D77" i="8"/>
  <c r="D90" i="8" s="1"/>
  <c r="D66" i="9"/>
  <c r="C66" i="9"/>
  <c r="C77" i="8"/>
  <c r="C90" i="8" s="1"/>
  <c r="C103" i="8" s="1"/>
  <c r="G74" i="8"/>
  <c r="G87" i="8" s="1"/>
  <c r="G100" i="8" s="1"/>
  <c r="G63" i="9"/>
  <c r="E76" i="8"/>
  <c r="E89" i="8" s="1"/>
  <c r="E65" i="9"/>
  <c r="E77" i="8"/>
  <c r="E90" i="8" s="1"/>
  <c r="E103" i="8" s="1"/>
  <c r="E66" i="9"/>
  <c r="G64" i="9"/>
  <c r="G75" i="8"/>
  <c r="G88" i="8" s="1"/>
  <c r="G101" i="8" s="1"/>
  <c r="F62" i="9"/>
  <c r="F73" i="8"/>
  <c r="F86" i="8" s="1"/>
  <c r="F99" i="8" s="1"/>
  <c r="C64" i="9"/>
  <c r="C75" i="8"/>
  <c r="C88" i="8" s="1"/>
  <c r="C101" i="8" s="1"/>
  <c r="C62" i="9"/>
  <c r="C73" i="8"/>
  <c r="C86" i="8" s="1"/>
  <c r="C99" i="8" s="1"/>
  <c r="F74" i="8"/>
  <c r="F87" i="8" s="1"/>
  <c r="F100" i="8" s="1"/>
  <c r="F63" i="9"/>
  <c r="H38" i="9"/>
  <c r="D64" i="9"/>
  <c r="D75" i="8"/>
  <c r="D88" i="8" s="1"/>
  <c r="D101" i="8" s="1"/>
  <c r="D76" i="8"/>
  <c r="D89" i="8" s="1"/>
  <c r="D65" i="9"/>
  <c r="E63" i="9"/>
  <c r="E74" i="8"/>
  <c r="E87" i="8" s="1"/>
  <c r="E100" i="8" s="1"/>
  <c r="W28" i="8"/>
  <c r="D54" i="9"/>
  <c r="D67" i="9" s="1"/>
  <c r="E41" i="9"/>
  <c r="C41" i="9"/>
  <c r="D41" i="9"/>
  <c r="F51" i="9"/>
  <c r="H37" i="9"/>
  <c r="C50" i="9"/>
  <c r="H50" i="9" s="1"/>
  <c r="H63" i="9" s="1"/>
  <c r="H53" i="9"/>
  <c r="H66" i="9" s="1"/>
  <c r="F41" i="9"/>
  <c r="H40" i="9"/>
  <c r="G36" i="9"/>
  <c r="H36" i="9" s="1"/>
  <c r="E54" i="9"/>
  <c r="E67" i="9" s="1"/>
  <c r="H52" i="9"/>
  <c r="H65" i="9" s="1"/>
  <c r="C189" i="4"/>
  <c r="B189" i="4"/>
  <c r="C159" i="4"/>
  <c r="B159" i="4"/>
  <c r="K16" i="8" l="1"/>
  <c r="Q54" i="9"/>
  <c r="Q67" i="9" s="1"/>
  <c r="Q62" i="9"/>
  <c r="P54" i="9"/>
  <c r="P67" i="9" s="1"/>
  <c r="P62" i="9"/>
  <c r="B122" i="8" s="1"/>
  <c r="E183" i="4"/>
  <c r="E182" i="4"/>
  <c r="C54" i="9"/>
  <c r="C67" i="9" s="1"/>
  <c r="C74" i="8"/>
  <c r="C87" i="8" s="1"/>
  <c r="C100" i="8" s="1"/>
  <c r="C63" i="9"/>
  <c r="H51" i="9"/>
  <c r="H64" i="9" s="1"/>
  <c r="F75" i="8"/>
  <c r="F88" i="8" s="1"/>
  <c r="F101" i="8" s="1"/>
  <c r="F64" i="9"/>
  <c r="F54" i="9"/>
  <c r="F67" i="9" s="1"/>
  <c r="H41" i="9"/>
  <c r="G49" i="9"/>
  <c r="G41" i="9"/>
  <c r="N121" i="8" l="1"/>
  <c r="C139" i="8"/>
  <c r="G62" i="9"/>
  <c r="G73" i="8"/>
  <c r="G86" i="8" s="1"/>
  <c r="G54" i="9"/>
  <c r="G67" i="9" s="1"/>
  <c r="H49" i="9"/>
  <c r="G99" i="8" l="1"/>
  <c r="H54" i="9"/>
  <c r="H62" i="9"/>
  <c r="S12" i="3"/>
  <c r="T28" i="3"/>
  <c r="R30" i="3"/>
  <c r="S28" i="3"/>
  <c r="S27" i="3"/>
  <c r="S26" i="3"/>
  <c r="S25" i="3"/>
  <c r="S24" i="3"/>
  <c r="S23" i="3"/>
  <c r="S22" i="3"/>
  <c r="S21" i="3"/>
  <c r="S20" i="3"/>
  <c r="S19" i="3"/>
  <c r="S18" i="3"/>
  <c r="S17" i="3"/>
  <c r="S16" i="3"/>
  <c r="S15" i="3"/>
  <c r="S14" i="3"/>
  <c r="S13" i="3"/>
  <c r="B29" i="3"/>
  <c r="N115" i="8" l="1"/>
  <c r="B139" i="8"/>
  <c r="H67" i="9"/>
  <c r="W13" i="3"/>
  <c r="G42" i="3"/>
  <c r="H38" i="3"/>
  <c r="S30" i="3"/>
  <c r="T29" i="3"/>
  <c r="G49" i="3" l="1"/>
  <c r="G52" i="3"/>
  <c r="H42" i="3"/>
  <c r="N52" i="3" l="1"/>
  <c r="G50" i="3"/>
  <c r="G51" i="3"/>
  <c r="G53" i="3" l="1"/>
  <c r="N49" i="3"/>
  <c r="N50" i="3"/>
  <c r="N51" i="3"/>
  <c r="C46" i="4"/>
  <c r="C29" i="5" s="1"/>
  <c r="C51" i="5" s="1"/>
  <c r="C73" i="5" s="1"/>
  <c r="C95" i="5" s="1"/>
  <c r="C45" i="4"/>
  <c r="C28" i="5" s="1"/>
  <c r="C50" i="5" s="1"/>
  <c r="C72" i="5" s="1"/>
  <c r="C94" i="5" s="1"/>
  <c r="C44" i="4"/>
  <c r="C27" i="5" s="1"/>
  <c r="C49" i="5" s="1"/>
  <c r="C71" i="5" s="1"/>
  <c r="C93" i="5" s="1"/>
  <c r="C43" i="4"/>
  <c r="C26" i="5" s="1"/>
  <c r="C48" i="5" s="1"/>
  <c r="C70" i="5" s="1"/>
  <c r="C92" i="5" s="1"/>
  <c r="C42" i="4"/>
  <c r="C25" i="5" s="1"/>
  <c r="C47" i="5" s="1"/>
  <c r="C69" i="5" s="1"/>
  <c r="C91" i="5" s="1"/>
  <c r="C41" i="4"/>
  <c r="C24" i="5" s="1"/>
  <c r="C46" i="5" s="1"/>
  <c r="C68" i="5" s="1"/>
  <c r="C90" i="5" s="1"/>
  <c r="C40" i="4"/>
  <c r="C23" i="5" s="1"/>
  <c r="C45" i="5" s="1"/>
  <c r="C67" i="5" s="1"/>
  <c r="C89" i="5" s="1"/>
  <c r="C39" i="4"/>
  <c r="C22" i="5" s="1"/>
  <c r="C44" i="5" s="1"/>
  <c r="C66" i="5" s="1"/>
  <c r="C88" i="5" s="1"/>
  <c r="C38" i="4"/>
  <c r="C21" i="5" s="1"/>
  <c r="C43" i="5" s="1"/>
  <c r="C65" i="5" s="1"/>
  <c r="C87" i="5" s="1"/>
  <c r="C37" i="4"/>
  <c r="C20" i="5" s="1"/>
  <c r="C42" i="5" s="1"/>
  <c r="C64" i="5" s="1"/>
  <c r="C36" i="4"/>
  <c r="C19" i="5" s="1"/>
  <c r="C41" i="5" s="1"/>
  <c r="C63" i="5" s="1"/>
  <c r="C35" i="4"/>
  <c r="C18" i="5" s="1"/>
  <c r="C40" i="5" s="1"/>
  <c r="C62" i="5" s="1"/>
  <c r="E46" i="4"/>
  <c r="E29" i="5" s="1"/>
  <c r="E51" i="5" s="1"/>
  <c r="E73" i="5" s="1"/>
  <c r="E95" i="5" s="1"/>
  <c r="E45" i="4"/>
  <c r="E28" i="5" s="1"/>
  <c r="E50" i="5" s="1"/>
  <c r="E72" i="5" s="1"/>
  <c r="E94" i="5" s="1"/>
  <c r="E44" i="4"/>
  <c r="E27" i="5" s="1"/>
  <c r="E49" i="5" s="1"/>
  <c r="E71" i="5" s="1"/>
  <c r="E93" i="5" s="1"/>
  <c r="E43" i="4"/>
  <c r="E26" i="5" s="1"/>
  <c r="E48" i="5" s="1"/>
  <c r="E70" i="5" s="1"/>
  <c r="E92" i="5" s="1"/>
  <c r="E42" i="4"/>
  <c r="E25" i="5" s="1"/>
  <c r="E47" i="5" s="1"/>
  <c r="E69" i="5" s="1"/>
  <c r="E91" i="5" s="1"/>
  <c r="E41" i="4"/>
  <c r="E24" i="5" s="1"/>
  <c r="E46" i="5" s="1"/>
  <c r="E68" i="5" s="1"/>
  <c r="E90" i="5" s="1"/>
  <c r="E40" i="4"/>
  <c r="E23" i="5" s="1"/>
  <c r="E45" i="5" s="1"/>
  <c r="E67" i="5" s="1"/>
  <c r="E89" i="5" s="1"/>
  <c r="E39" i="4"/>
  <c r="E22" i="5" s="1"/>
  <c r="E44" i="5" s="1"/>
  <c r="E66" i="5" s="1"/>
  <c r="E88" i="5" s="1"/>
  <c r="E38" i="4"/>
  <c r="E21" i="5" s="1"/>
  <c r="E43" i="5" s="1"/>
  <c r="E65" i="5" s="1"/>
  <c r="E87" i="5" s="1"/>
  <c r="E37" i="4"/>
  <c r="E20" i="5" s="1"/>
  <c r="E42" i="5" s="1"/>
  <c r="E64" i="5" s="1"/>
  <c r="E36" i="4"/>
  <c r="E19" i="5" s="1"/>
  <c r="E41" i="5" s="1"/>
  <c r="E63" i="5" s="1"/>
  <c r="E35" i="4"/>
  <c r="E18" i="5" s="1"/>
  <c r="E40" i="5" s="1"/>
  <c r="E62" i="5" s="1"/>
  <c r="E19" i="12" s="1"/>
  <c r="F46" i="4"/>
  <c r="F29" i="5" s="1"/>
  <c r="F51" i="5" s="1"/>
  <c r="F73" i="5" s="1"/>
  <c r="F95" i="5" s="1"/>
  <c r="F45" i="4"/>
  <c r="F28" i="5" s="1"/>
  <c r="F50" i="5" s="1"/>
  <c r="F72" i="5" s="1"/>
  <c r="F94" i="5" s="1"/>
  <c r="F44" i="4"/>
  <c r="F27" i="5" s="1"/>
  <c r="F49" i="5" s="1"/>
  <c r="F71" i="5" s="1"/>
  <c r="F93" i="5" s="1"/>
  <c r="F43" i="4"/>
  <c r="F26" i="5" s="1"/>
  <c r="F48" i="5" s="1"/>
  <c r="F70" i="5" s="1"/>
  <c r="F92" i="5" s="1"/>
  <c r="F42" i="4"/>
  <c r="F25" i="5" s="1"/>
  <c r="F47" i="5" s="1"/>
  <c r="F69" i="5" s="1"/>
  <c r="F91" i="5" s="1"/>
  <c r="F41" i="4"/>
  <c r="F24" i="5" s="1"/>
  <c r="F46" i="5" s="1"/>
  <c r="F68" i="5" s="1"/>
  <c r="F90" i="5" s="1"/>
  <c r="F40" i="4"/>
  <c r="F23" i="5" s="1"/>
  <c r="F45" i="5" s="1"/>
  <c r="F67" i="5" s="1"/>
  <c r="F89" i="5" s="1"/>
  <c r="F39" i="4"/>
  <c r="F22" i="5" s="1"/>
  <c r="F44" i="5" s="1"/>
  <c r="F66" i="5" s="1"/>
  <c r="F88" i="5" s="1"/>
  <c r="F38" i="4"/>
  <c r="F21" i="5" s="1"/>
  <c r="F43" i="5" s="1"/>
  <c r="F65" i="5" s="1"/>
  <c r="F87" i="5" s="1"/>
  <c r="F37" i="4"/>
  <c r="F20" i="5" s="1"/>
  <c r="F42" i="5" s="1"/>
  <c r="F64" i="5" s="1"/>
  <c r="F36" i="4"/>
  <c r="F19" i="5" s="1"/>
  <c r="F41" i="5" s="1"/>
  <c r="F63" i="5" s="1"/>
  <c r="F35" i="4"/>
  <c r="F18" i="5" s="1"/>
  <c r="F40" i="5" s="1"/>
  <c r="F62" i="5" s="1"/>
  <c r="F19" i="12" s="1"/>
  <c r="O428" i="4"/>
  <c r="N428" i="4"/>
  <c r="M428" i="4"/>
  <c r="L428" i="4"/>
  <c r="K428" i="4"/>
  <c r="J428" i="4"/>
  <c r="I428" i="4"/>
  <c r="H428" i="4"/>
  <c r="G428" i="4"/>
  <c r="F428" i="4"/>
  <c r="E428" i="4"/>
  <c r="D428" i="4"/>
  <c r="O427" i="4"/>
  <c r="N427" i="4"/>
  <c r="M427" i="4"/>
  <c r="L427" i="4"/>
  <c r="K427" i="4"/>
  <c r="J427" i="4"/>
  <c r="I427" i="4"/>
  <c r="H427" i="4"/>
  <c r="G427" i="4"/>
  <c r="F427" i="4"/>
  <c r="E427" i="4"/>
  <c r="D427" i="4"/>
  <c r="O426" i="4"/>
  <c r="O433" i="4" s="1"/>
  <c r="R34" i="4" s="1"/>
  <c r="N426" i="4"/>
  <c r="N433" i="4" s="1"/>
  <c r="Q34" i="4" s="1"/>
  <c r="M426" i="4"/>
  <c r="M433" i="4" s="1"/>
  <c r="P34" i="4" s="1"/>
  <c r="L426" i="4"/>
  <c r="K426" i="4"/>
  <c r="K433" i="4" s="1"/>
  <c r="N34" i="4" s="1"/>
  <c r="J426" i="4"/>
  <c r="J433" i="4" s="1"/>
  <c r="M34" i="4" s="1"/>
  <c r="I426" i="4"/>
  <c r="I433" i="4" s="1"/>
  <c r="L34" i="4" s="1"/>
  <c r="H426" i="4"/>
  <c r="H433" i="4" s="1"/>
  <c r="K34" i="4" s="1"/>
  <c r="G426" i="4"/>
  <c r="G433" i="4" s="1"/>
  <c r="J34" i="4" s="1"/>
  <c r="F426" i="4"/>
  <c r="F433" i="4" s="1"/>
  <c r="I34" i="4" s="1"/>
  <c r="E426" i="4"/>
  <c r="E433" i="4" s="1"/>
  <c r="H34" i="4" s="1"/>
  <c r="D426" i="4"/>
  <c r="D433" i="4" s="1"/>
  <c r="O425" i="4"/>
  <c r="N425" i="4"/>
  <c r="M425" i="4"/>
  <c r="L425" i="4"/>
  <c r="K425" i="4"/>
  <c r="J425" i="4"/>
  <c r="I425" i="4"/>
  <c r="H425" i="4"/>
  <c r="G425" i="4"/>
  <c r="F425" i="4"/>
  <c r="E425" i="4"/>
  <c r="D425" i="4"/>
  <c r="O424" i="4"/>
  <c r="N424" i="4"/>
  <c r="M424" i="4"/>
  <c r="L424" i="4"/>
  <c r="K424" i="4"/>
  <c r="J424" i="4"/>
  <c r="I424" i="4"/>
  <c r="H424" i="4"/>
  <c r="G424" i="4"/>
  <c r="F424" i="4"/>
  <c r="E424" i="4"/>
  <c r="D424" i="4"/>
  <c r="O423" i="4"/>
  <c r="O432" i="4" s="1"/>
  <c r="R33" i="4" s="1"/>
  <c r="R16" i="5" s="1"/>
  <c r="R38" i="5" s="1"/>
  <c r="R60" i="5" s="1"/>
  <c r="R82" i="5" s="1"/>
  <c r="N423" i="4"/>
  <c r="N432" i="4" s="1"/>
  <c r="Q33" i="4" s="1"/>
  <c r="Q16" i="5" s="1"/>
  <c r="Q38" i="5" s="1"/>
  <c r="Q60" i="5" s="1"/>
  <c r="Q82" i="5" s="1"/>
  <c r="M423" i="4"/>
  <c r="M432" i="4" s="1"/>
  <c r="P33" i="4" s="1"/>
  <c r="P16" i="5" s="1"/>
  <c r="P38" i="5" s="1"/>
  <c r="P60" i="5" s="1"/>
  <c r="P82" i="5" s="1"/>
  <c r="L423" i="4"/>
  <c r="K423" i="4"/>
  <c r="J423" i="4"/>
  <c r="J432" i="4" s="1"/>
  <c r="M33" i="4" s="1"/>
  <c r="M16" i="5" s="1"/>
  <c r="M38" i="5" s="1"/>
  <c r="M60" i="5" s="1"/>
  <c r="M82" i="5" s="1"/>
  <c r="I423" i="4"/>
  <c r="H423" i="4"/>
  <c r="H432" i="4" s="1"/>
  <c r="K33" i="4" s="1"/>
  <c r="K16" i="5" s="1"/>
  <c r="K38" i="5" s="1"/>
  <c r="K60" i="5" s="1"/>
  <c r="K82" i="5" s="1"/>
  <c r="G423" i="4"/>
  <c r="G432" i="4" s="1"/>
  <c r="J33" i="4" s="1"/>
  <c r="J16" i="5" s="1"/>
  <c r="J38" i="5" s="1"/>
  <c r="J60" i="5" s="1"/>
  <c r="J82" i="5" s="1"/>
  <c r="F423" i="4"/>
  <c r="F432" i="4" s="1"/>
  <c r="I33" i="4" s="1"/>
  <c r="I16" i="5" s="1"/>
  <c r="I38" i="5" s="1"/>
  <c r="I60" i="5" s="1"/>
  <c r="E423" i="4"/>
  <c r="E432" i="4" s="1"/>
  <c r="H33" i="4" s="1"/>
  <c r="H16" i="5" s="1"/>
  <c r="H38" i="5" s="1"/>
  <c r="H60" i="5" s="1"/>
  <c r="D423" i="4"/>
  <c r="D432" i="4" s="1"/>
  <c r="O422" i="4"/>
  <c r="N422" i="4"/>
  <c r="M422" i="4"/>
  <c r="L422" i="4"/>
  <c r="K422" i="4"/>
  <c r="J422" i="4"/>
  <c r="I422" i="4"/>
  <c r="H422" i="4"/>
  <c r="G422" i="4"/>
  <c r="F422" i="4"/>
  <c r="E422" i="4"/>
  <c r="D422" i="4"/>
  <c r="O421" i="4"/>
  <c r="N421" i="4"/>
  <c r="M421" i="4"/>
  <c r="L421" i="4"/>
  <c r="K421" i="4"/>
  <c r="J421" i="4"/>
  <c r="I421" i="4"/>
  <c r="H421" i="4"/>
  <c r="G421" i="4"/>
  <c r="F421" i="4"/>
  <c r="E421" i="4"/>
  <c r="D421" i="4"/>
  <c r="O420" i="4"/>
  <c r="O431" i="4" s="1"/>
  <c r="R32" i="4" s="1"/>
  <c r="R15" i="5" s="1"/>
  <c r="R37" i="5" s="1"/>
  <c r="R59" i="5" s="1"/>
  <c r="R81" i="5" s="1"/>
  <c r="N420" i="4"/>
  <c r="N431" i="4" s="1"/>
  <c r="Q32" i="4" s="1"/>
  <c r="Q15" i="5" s="1"/>
  <c r="Q37" i="5" s="1"/>
  <c r="Q59" i="5" s="1"/>
  <c r="Q81" i="5" s="1"/>
  <c r="M420" i="4"/>
  <c r="M431" i="4" s="1"/>
  <c r="P32" i="4" s="1"/>
  <c r="P15" i="5" s="1"/>
  <c r="P37" i="5" s="1"/>
  <c r="P59" i="5" s="1"/>
  <c r="P81" i="5" s="1"/>
  <c r="L420" i="4"/>
  <c r="L431" i="4" s="1"/>
  <c r="O32" i="4" s="1"/>
  <c r="O15" i="5" s="1"/>
  <c r="O37" i="5" s="1"/>
  <c r="O59" i="5" s="1"/>
  <c r="O81" i="5" s="1"/>
  <c r="K420" i="4"/>
  <c r="K431" i="4" s="1"/>
  <c r="N32" i="4" s="1"/>
  <c r="N15" i="5" s="1"/>
  <c r="N37" i="5" s="1"/>
  <c r="N59" i="5" s="1"/>
  <c r="N81" i="5" s="1"/>
  <c r="J420" i="4"/>
  <c r="J431" i="4" s="1"/>
  <c r="M32" i="4" s="1"/>
  <c r="M15" i="5" s="1"/>
  <c r="M37" i="5" s="1"/>
  <c r="M59" i="5" s="1"/>
  <c r="M81" i="5" s="1"/>
  <c r="I420" i="4"/>
  <c r="H420" i="4"/>
  <c r="G420" i="4"/>
  <c r="G431" i="4" s="1"/>
  <c r="J32" i="4" s="1"/>
  <c r="J15" i="5" s="1"/>
  <c r="J37" i="5" s="1"/>
  <c r="J59" i="5" s="1"/>
  <c r="J81" i="5" s="1"/>
  <c r="F420" i="4"/>
  <c r="F431" i="4" s="1"/>
  <c r="I32" i="4" s="1"/>
  <c r="I15" i="5" s="1"/>
  <c r="I37" i="5" s="1"/>
  <c r="I59" i="5" s="1"/>
  <c r="E420" i="4"/>
  <c r="E431" i="4" s="1"/>
  <c r="H32" i="4" s="1"/>
  <c r="H15" i="5" s="1"/>
  <c r="H37" i="5" s="1"/>
  <c r="H59" i="5" s="1"/>
  <c r="D420" i="4"/>
  <c r="D431" i="4" s="1"/>
  <c r="O419" i="4"/>
  <c r="N419" i="4"/>
  <c r="M419" i="4"/>
  <c r="L419" i="4"/>
  <c r="K419" i="4"/>
  <c r="J419" i="4"/>
  <c r="I419" i="4"/>
  <c r="H419" i="4"/>
  <c r="G419" i="4"/>
  <c r="F419" i="4"/>
  <c r="E419" i="4"/>
  <c r="D419" i="4"/>
  <c r="O418" i="4"/>
  <c r="N418" i="4"/>
  <c r="M418" i="4"/>
  <c r="L418" i="4"/>
  <c r="K418" i="4"/>
  <c r="J418" i="4"/>
  <c r="I418" i="4"/>
  <c r="H418" i="4"/>
  <c r="G418" i="4"/>
  <c r="F418" i="4"/>
  <c r="E418" i="4"/>
  <c r="D418" i="4"/>
  <c r="O417" i="4"/>
  <c r="O430" i="4" s="1"/>
  <c r="R31" i="4" s="1"/>
  <c r="R14" i="5" s="1"/>
  <c r="R36" i="5" s="1"/>
  <c r="R58" i="5" s="1"/>
  <c r="R80" i="5" s="1"/>
  <c r="N417" i="4"/>
  <c r="N430" i="4" s="1"/>
  <c r="Q31" i="4" s="1"/>
  <c r="Q14" i="5" s="1"/>
  <c r="Q36" i="5" s="1"/>
  <c r="Q58" i="5" s="1"/>
  <c r="M417" i="4"/>
  <c r="M430" i="4" s="1"/>
  <c r="P31" i="4" s="1"/>
  <c r="P14" i="5" s="1"/>
  <c r="P36" i="5" s="1"/>
  <c r="P58" i="5" s="1"/>
  <c r="P80" i="5" s="1"/>
  <c r="L417" i="4"/>
  <c r="K417" i="4"/>
  <c r="K430" i="4" s="1"/>
  <c r="N31" i="4" s="1"/>
  <c r="N14" i="5" s="1"/>
  <c r="N36" i="5" s="1"/>
  <c r="N58" i="5" s="1"/>
  <c r="N80" i="5" s="1"/>
  <c r="J417" i="4"/>
  <c r="J430" i="4" s="1"/>
  <c r="M31" i="4" s="1"/>
  <c r="M14" i="5" s="1"/>
  <c r="M36" i="5" s="1"/>
  <c r="M58" i="5" s="1"/>
  <c r="M80" i="5" s="1"/>
  <c r="I417" i="4"/>
  <c r="I430" i="4" s="1"/>
  <c r="L31" i="4" s="1"/>
  <c r="L14" i="5" s="1"/>
  <c r="L36" i="5" s="1"/>
  <c r="L58" i="5" s="1"/>
  <c r="L80" i="5" s="1"/>
  <c r="H417" i="4"/>
  <c r="H430" i="4" s="1"/>
  <c r="K31" i="4" s="1"/>
  <c r="K14" i="5" s="1"/>
  <c r="K36" i="5" s="1"/>
  <c r="K58" i="5" s="1"/>
  <c r="K80" i="5" s="1"/>
  <c r="G417" i="4"/>
  <c r="F417" i="4"/>
  <c r="F430" i="4" s="1"/>
  <c r="I31" i="4" s="1"/>
  <c r="I14" i="5" s="1"/>
  <c r="I36" i="5" s="1"/>
  <c r="I58" i="5" s="1"/>
  <c r="E417" i="4"/>
  <c r="E430" i="4" s="1"/>
  <c r="H31" i="4" s="1"/>
  <c r="H14" i="5" s="1"/>
  <c r="H36" i="5" s="1"/>
  <c r="H58" i="5" s="1"/>
  <c r="D417" i="4"/>
  <c r="D430" i="4" s="1"/>
  <c r="N53" i="3" l="1"/>
  <c r="M53" i="3"/>
  <c r="R17" i="5"/>
  <c r="R39" i="5" s="1"/>
  <c r="R61" i="5" s="1"/>
  <c r="R83" i="5" s="1"/>
  <c r="R96" i="5" s="1"/>
  <c r="K17" i="5"/>
  <c r="K39" i="5" s="1"/>
  <c r="K61" i="5" s="1"/>
  <c r="K83" i="5" s="1"/>
  <c r="H17" i="5"/>
  <c r="H39" i="5" s="1"/>
  <c r="H61" i="5" s="1"/>
  <c r="H18" i="12" s="1"/>
  <c r="H46" i="12" s="1"/>
  <c r="H83" i="5" s="1"/>
  <c r="L17" i="5"/>
  <c r="L39" i="5" s="1"/>
  <c r="L61" i="5" s="1"/>
  <c r="L83" i="5" s="1"/>
  <c r="P17" i="5"/>
  <c r="P39" i="5" s="1"/>
  <c r="P61" i="5" s="1"/>
  <c r="P83" i="5" s="1"/>
  <c r="P96" i="5" s="1"/>
  <c r="N17" i="5"/>
  <c r="N39" i="5" s="1"/>
  <c r="N61" i="5" s="1"/>
  <c r="N83" i="5" s="1"/>
  <c r="I17" i="5"/>
  <c r="I39" i="5" s="1"/>
  <c r="I61" i="5" s="1"/>
  <c r="I18" i="12" s="1"/>
  <c r="I46" i="12" s="1"/>
  <c r="I83" i="5" s="1"/>
  <c r="M17" i="5"/>
  <c r="M30" i="5" s="1"/>
  <c r="M52" i="5" s="1"/>
  <c r="M74" i="5" s="1"/>
  <c r="Q17" i="5"/>
  <c r="Q39" i="5" s="1"/>
  <c r="Q61" i="5" s="1"/>
  <c r="Q83" i="5" s="1"/>
  <c r="J17" i="5"/>
  <c r="J39" i="5" s="1"/>
  <c r="J61" i="5" s="1"/>
  <c r="J83" i="5" s="1"/>
  <c r="L433" i="4"/>
  <c r="O34" i="4" s="1"/>
  <c r="L432" i="4"/>
  <c r="O33" i="4" s="1"/>
  <c r="O16" i="5" s="1"/>
  <c r="O38" i="5" s="1"/>
  <c r="O60" i="5" s="1"/>
  <c r="O82" i="5" s="1"/>
  <c r="I431" i="4"/>
  <c r="L32" i="4" s="1"/>
  <c r="L15" i="5" s="1"/>
  <c r="L37" i="5" s="1"/>
  <c r="L59" i="5" s="1"/>
  <c r="L81" i="5" s="1"/>
  <c r="G31" i="4"/>
  <c r="G14" i="5" s="1"/>
  <c r="G36" i="5" s="1"/>
  <c r="G58" i="5" s="1"/>
  <c r="G15" i="12" s="1"/>
  <c r="G32" i="4"/>
  <c r="G15" i="5" s="1"/>
  <c r="G37" i="5" s="1"/>
  <c r="G59" i="5" s="1"/>
  <c r="G16" i="12" s="1"/>
  <c r="G33" i="4"/>
  <c r="G16" i="5" s="1"/>
  <c r="G38" i="5" s="1"/>
  <c r="G60" i="5" s="1"/>
  <c r="G17" i="12" s="1"/>
  <c r="G34" i="4"/>
  <c r="W33" i="8"/>
  <c r="Q80" i="5"/>
  <c r="I16" i="12"/>
  <c r="I44" i="12" s="1"/>
  <c r="I81" i="5" s="1"/>
  <c r="I17" i="12"/>
  <c r="I45" i="12" s="1"/>
  <c r="I82" i="5" s="1"/>
  <c r="F21" i="12"/>
  <c r="F49" i="12" s="1"/>
  <c r="F86" i="5" s="1"/>
  <c r="E21" i="12"/>
  <c r="E49" i="12" s="1"/>
  <c r="E86" i="5" s="1"/>
  <c r="C21" i="12"/>
  <c r="C49" i="12" s="1"/>
  <c r="C86" i="5" s="1"/>
  <c r="I15" i="12"/>
  <c r="I43" i="12" s="1"/>
  <c r="I80" i="5" s="1"/>
  <c r="H15" i="12"/>
  <c r="H43" i="12" s="1"/>
  <c r="H80" i="5" s="1"/>
  <c r="H16" i="12"/>
  <c r="H44" i="12" s="1"/>
  <c r="H81" i="5" s="1"/>
  <c r="H17" i="12"/>
  <c r="H45" i="12" s="1"/>
  <c r="H82" i="5" s="1"/>
  <c r="F20" i="12"/>
  <c r="F48" i="12" s="1"/>
  <c r="F85" i="5" s="1"/>
  <c r="E20" i="12"/>
  <c r="E48" i="12" s="1"/>
  <c r="E85" i="5" s="1"/>
  <c r="C20" i="12"/>
  <c r="C48" i="12" s="1"/>
  <c r="C85" i="5" s="1"/>
  <c r="C19" i="12"/>
  <c r="C47" i="12" s="1"/>
  <c r="C84" i="5" s="1"/>
  <c r="F47" i="12"/>
  <c r="F84" i="5" s="1"/>
  <c r="E47" i="12"/>
  <c r="E84" i="5" s="1"/>
  <c r="L430" i="4"/>
  <c r="O31" i="4" s="1"/>
  <c r="K432" i="4"/>
  <c r="N33" i="4" s="1"/>
  <c r="I432" i="4"/>
  <c r="L33" i="4" s="1"/>
  <c r="H431" i="4"/>
  <c r="K32" i="4" s="1"/>
  <c r="G430" i="4"/>
  <c r="J31" i="4" s="1"/>
  <c r="D46" i="4"/>
  <c r="D29" i="5" s="1"/>
  <c r="D51" i="5" s="1"/>
  <c r="D73" i="5" s="1"/>
  <c r="D95" i="5" s="1"/>
  <c r="D45" i="4"/>
  <c r="D28" i="5" s="1"/>
  <c r="D50" i="5" s="1"/>
  <c r="D72" i="5" s="1"/>
  <c r="D44" i="4"/>
  <c r="D27" i="5" s="1"/>
  <c r="D49" i="5" s="1"/>
  <c r="D71" i="5" s="1"/>
  <c r="D93" i="5" s="1"/>
  <c r="D43" i="4"/>
  <c r="D26" i="5" s="1"/>
  <c r="D48" i="5" s="1"/>
  <c r="D70" i="5" s="1"/>
  <c r="D92" i="5" s="1"/>
  <c r="D42" i="4"/>
  <c r="D25" i="5" s="1"/>
  <c r="D47" i="5" s="1"/>
  <c r="D69" i="5" s="1"/>
  <c r="D91" i="5" s="1"/>
  <c r="D41" i="4"/>
  <c r="D24" i="5" s="1"/>
  <c r="D46" i="5" s="1"/>
  <c r="D68" i="5" s="1"/>
  <c r="D40" i="4"/>
  <c r="D23" i="5" s="1"/>
  <c r="D45" i="5" s="1"/>
  <c r="D67" i="5" s="1"/>
  <c r="D89" i="5" s="1"/>
  <c r="D39" i="4"/>
  <c r="D22" i="5" s="1"/>
  <c r="D44" i="5" s="1"/>
  <c r="D66" i="5" s="1"/>
  <c r="D38" i="4"/>
  <c r="D21" i="5" s="1"/>
  <c r="D43" i="5" s="1"/>
  <c r="D65" i="5" s="1"/>
  <c r="D37" i="4"/>
  <c r="D20" i="5" s="1"/>
  <c r="D42" i="5" s="1"/>
  <c r="D64" i="5" s="1"/>
  <c r="D36" i="4"/>
  <c r="D19" i="5" s="1"/>
  <c r="D41" i="5" s="1"/>
  <c r="D63" i="5" s="1"/>
  <c r="D35" i="4"/>
  <c r="D18" i="5" s="1"/>
  <c r="D40" i="5" s="1"/>
  <c r="D62" i="5" s="1"/>
  <c r="D19" i="12" s="1"/>
  <c r="Q30" i="5" l="1"/>
  <c r="Q52" i="5" s="1"/>
  <c r="Q74" i="5" s="1"/>
  <c r="P30" i="5"/>
  <c r="P52" i="5" s="1"/>
  <c r="P74" i="5" s="1"/>
  <c r="R30" i="5"/>
  <c r="R52" i="5" s="1"/>
  <c r="R74" i="5" s="1"/>
  <c r="I30" i="5"/>
  <c r="I52" i="5" s="1"/>
  <c r="I74" i="5" s="1"/>
  <c r="H30" i="5"/>
  <c r="H52" i="5" s="1"/>
  <c r="H74" i="5" s="1"/>
  <c r="G103" i="5"/>
  <c r="M39" i="5"/>
  <c r="M61" i="5" s="1"/>
  <c r="M83" i="5" s="1"/>
  <c r="M96" i="5" s="1"/>
  <c r="G17" i="5"/>
  <c r="G39" i="5" s="1"/>
  <c r="G61" i="5" s="1"/>
  <c r="G18" i="12" s="1"/>
  <c r="O17" i="5"/>
  <c r="O39" i="5" s="1"/>
  <c r="O61" i="5" s="1"/>
  <c r="O83" i="5" s="1"/>
  <c r="E45" i="12"/>
  <c r="E50" i="12" s="1"/>
  <c r="C43" i="12"/>
  <c r="G44" i="12"/>
  <c r="G81" i="5" s="1"/>
  <c r="G45" i="12"/>
  <c r="G82" i="5" s="1"/>
  <c r="I96" i="5"/>
  <c r="F22" i="12"/>
  <c r="E22" i="12"/>
  <c r="J17" i="12"/>
  <c r="J16" i="12"/>
  <c r="H96" i="5"/>
  <c r="Q96" i="5"/>
  <c r="D87" i="5"/>
  <c r="B105" i="5" s="1"/>
  <c r="D88" i="5"/>
  <c r="B106" i="5" s="1"/>
  <c r="D20" i="12"/>
  <c r="D48" i="12" s="1"/>
  <c r="D85" i="5" s="1"/>
  <c r="D21" i="12"/>
  <c r="D49" i="12" s="1"/>
  <c r="D86" i="5" s="1"/>
  <c r="D90" i="5"/>
  <c r="D94" i="5"/>
  <c r="B108" i="5" s="1"/>
  <c r="C22" i="12"/>
  <c r="D47" i="12"/>
  <c r="D84" i="5" s="1"/>
  <c r="L16" i="5"/>
  <c r="L38" i="5" s="1"/>
  <c r="L60" i="5" s="1"/>
  <c r="L82" i="5" s="1"/>
  <c r="L96" i="5" s="1"/>
  <c r="N16" i="5"/>
  <c r="N38" i="5" s="1"/>
  <c r="N60" i="5" s="1"/>
  <c r="N82" i="5" s="1"/>
  <c r="N96" i="5" s="1"/>
  <c r="J14" i="5"/>
  <c r="J36" i="5" s="1"/>
  <c r="J58" i="5" s="1"/>
  <c r="O14" i="5"/>
  <c r="O36" i="5" s="1"/>
  <c r="O58" i="5" s="1"/>
  <c r="K15" i="5"/>
  <c r="K37" i="5" s="1"/>
  <c r="K59" i="5" s="1"/>
  <c r="G30" i="5" l="1"/>
  <c r="G52" i="5" s="1"/>
  <c r="G74" i="5" s="1"/>
  <c r="G46" i="12"/>
  <c r="G83" i="5" s="1"/>
  <c r="F46" i="12"/>
  <c r="F50" i="12" s="1"/>
  <c r="J18" i="12"/>
  <c r="B107" i="5"/>
  <c r="H107" i="5" s="1"/>
  <c r="J45" i="12"/>
  <c r="D44" i="12"/>
  <c r="H108" i="5"/>
  <c r="B77" i="8"/>
  <c r="B90" i="8" s="1"/>
  <c r="B103" i="8" s="1"/>
  <c r="H105" i="5"/>
  <c r="B74" i="8"/>
  <c r="H74" i="8" s="1"/>
  <c r="D22" i="12"/>
  <c r="G109" i="5"/>
  <c r="G72" i="8"/>
  <c r="B104" i="5"/>
  <c r="O80" i="5"/>
  <c r="F103" i="5" s="1"/>
  <c r="K81" i="5"/>
  <c r="E103" i="5" s="1"/>
  <c r="J80" i="5"/>
  <c r="D103" i="5" s="1"/>
  <c r="O30" i="5"/>
  <c r="O52" i="5" s="1"/>
  <c r="O74" i="5" s="1"/>
  <c r="N30" i="5"/>
  <c r="N52" i="5" s="1"/>
  <c r="N74" i="5" s="1"/>
  <c r="K30" i="5"/>
  <c r="K52" i="5" s="1"/>
  <c r="K74" i="5" s="1"/>
  <c r="J30" i="5"/>
  <c r="J52" i="5" s="1"/>
  <c r="J74" i="5" s="1"/>
  <c r="L30" i="5"/>
  <c r="L52" i="5" s="1"/>
  <c r="L74" i="5" s="1"/>
  <c r="B76" i="8" l="1"/>
  <c r="B89" i="8" s="1"/>
  <c r="J46" i="12"/>
  <c r="J44" i="12"/>
  <c r="D50" i="12"/>
  <c r="H77" i="8"/>
  <c r="B87" i="8"/>
  <c r="B100" i="8" s="1"/>
  <c r="K96" i="5"/>
  <c r="O96" i="5"/>
  <c r="G85" i="8"/>
  <c r="G98" i="8" s="1"/>
  <c r="G78" i="8"/>
  <c r="J96" i="5"/>
  <c r="H106" i="5"/>
  <c r="B75" i="8"/>
  <c r="H90" i="8"/>
  <c r="H103" i="8" s="1"/>
  <c r="H89" i="8" l="1"/>
  <c r="H102" i="8" s="1"/>
  <c r="H76" i="8"/>
  <c r="H87" i="8"/>
  <c r="H100" i="8" s="1"/>
  <c r="D109" i="5"/>
  <c r="D72" i="8"/>
  <c r="F109" i="5"/>
  <c r="F72" i="8"/>
  <c r="B88" i="8"/>
  <c r="B101" i="8" s="1"/>
  <c r="H75" i="8"/>
  <c r="G91" i="8"/>
  <c r="G104" i="8" s="1"/>
  <c r="E109" i="5"/>
  <c r="E72" i="8"/>
  <c r="F85" i="8" l="1"/>
  <c r="F98" i="8" s="1"/>
  <c r="F78" i="8"/>
  <c r="E85" i="8"/>
  <c r="E98" i="8" s="1"/>
  <c r="E78" i="8"/>
  <c r="D85" i="8"/>
  <c r="D98" i="8" s="1"/>
  <c r="D78" i="8"/>
  <c r="H88" i="8"/>
  <c r="H101" i="8" s="1"/>
  <c r="B24" i="2"/>
  <c r="A25" i="2"/>
  <c r="D16" i="6" l="1"/>
  <c r="G16" i="6" s="1"/>
  <c r="D15" i="6"/>
  <c r="G15" i="6" s="1"/>
  <c r="F83" i="4"/>
  <c r="E91" i="8"/>
  <c r="E104" i="8" s="1"/>
  <c r="B121" i="8"/>
  <c r="D91" i="8"/>
  <c r="D104" i="8" s="1"/>
  <c r="B120" i="8"/>
  <c r="F91" i="8"/>
  <c r="F104" i="8" s="1"/>
  <c r="B12" i="5"/>
  <c r="B53" i="11"/>
  <c r="A12" i="3"/>
  <c r="A54" i="11"/>
  <c r="A30" i="4"/>
  <c r="A13" i="5"/>
  <c r="B29" i="4"/>
  <c r="B11" i="3"/>
  <c r="N119" i="8" l="1"/>
  <c r="C136" i="8"/>
  <c r="N120" i="8"/>
  <c r="C138" i="8"/>
  <c r="G17" i="6"/>
  <c r="G18" i="6" s="1"/>
  <c r="C74" i="4"/>
  <c r="B123" i="8" l="1"/>
  <c r="N122" i="8" s="1"/>
  <c r="E127" i="4"/>
  <c r="E133" i="4"/>
  <c r="E130" i="4"/>
  <c r="H122" i="4" s="1"/>
  <c r="E124" i="4"/>
  <c r="E136" i="4"/>
  <c r="H124" i="4" s="1"/>
  <c r="E73" i="4"/>
  <c r="E121" i="4"/>
  <c r="E151" i="4"/>
  <c r="C118" i="5"/>
  <c r="C127" i="5" s="1"/>
  <c r="C136" i="5" s="1"/>
  <c r="E160" i="8"/>
  <c r="H121" i="4" l="1"/>
  <c r="E139" i="4"/>
  <c r="H123" i="4" s="1"/>
  <c r="G159" i="8"/>
  <c r="E117" i="5"/>
  <c r="B161" i="8"/>
  <c r="F93" i="4"/>
  <c r="B162" i="8"/>
  <c r="F167" i="4"/>
  <c r="K167" i="4" s="1"/>
  <c r="I167" i="4"/>
  <c r="N167" i="4" s="1"/>
  <c r="F109" i="4"/>
  <c r="F74" i="4" s="1"/>
  <c r="G167" i="4"/>
  <c r="C182" i="4" l="1"/>
  <c r="H255" i="4"/>
  <c r="L167" i="4"/>
  <c r="O167" i="4" s="1"/>
  <c r="E56" i="4"/>
  <c r="E33" i="4" s="1"/>
  <c r="B159" i="8"/>
  <c r="F118" i="5"/>
  <c r="F127" i="5" s="1"/>
  <c r="F136" i="5" s="1"/>
  <c r="D160" i="8"/>
  <c r="D74" i="4"/>
  <c r="B160" i="8"/>
  <c r="C183" i="4"/>
  <c r="G183" i="4" s="1"/>
  <c r="F57" i="4"/>
  <c r="F34" i="4" s="1"/>
  <c r="C180" i="4"/>
  <c r="B157" i="8"/>
  <c r="D162" i="8"/>
  <c r="D161" i="8"/>
  <c r="F166" i="4"/>
  <c r="K166" i="4" s="1"/>
  <c r="I166" i="4"/>
  <c r="N166" i="4" s="1"/>
  <c r="G166" i="4"/>
  <c r="L166" i="4" s="1"/>
  <c r="C54" i="4"/>
  <c r="D118" i="5" l="1"/>
  <c r="D127" i="5" s="1"/>
  <c r="D136" i="5" s="1"/>
  <c r="F160" i="8"/>
  <c r="F56" i="4"/>
  <c r="F33" i="4" s="1"/>
  <c r="C160" i="8"/>
  <c r="F66" i="4"/>
  <c r="T34" i="4"/>
  <c r="C31" i="4"/>
  <c r="C57" i="4"/>
  <c r="C34" i="4" s="1"/>
  <c r="E57" i="4"/>
  <c r="E34" i="4" s="1"/>
  <c r="E92" i="4"/>
  <c r="C80" i="4"/>
  <c r="C83" i="4" s="1"/>
  <c r="C181" i="4"/>
  <c r="B158" i="8"/>
  <c r="E82" i="4"/>
  <c r="C56" i="4"/>
  <c r="C33" i="4" s="1"/>
  <c r="F54" i="4"/>
  <c r="F31" i="4" s="1"/>
  <c r="E54" i="4"/>
  <c r="E31" i="4" s="1"/>
  <c r="E108" i="4"/>
  <c r="F73" i="4" s="1"/>
  <c r="O166" i="4"/>
  <c r="D180" i="4" s="1"/>
  <c r="E180" i="4" s="1"/>
  <c r="D55" i="4"/>
  <c r="D57" i="4" s="1"/>
  <c r="D34" i="4" s="1"/>
  <c r="C90" i="4"/>
  <c r="D71" i="4" s="1"/>
  <c r="C71" i="4" l="1"/>
  <c r="D159" i="8"/>
  <c r="F117" i="5"/>
  <c r="F126" i="5" s="1"/>
  <c r="F135" i="5" s="1"/>
  <c r="C73" i="4"/>
  <c r="D73" i="4"/>
  <c r="F157" i="8"/>
  <c r="D115" i="5"/>
  <c r="D124" i="5" s="1"/>
  <c r="F80" i="4"/>
  <c r="G180" i="4"/>
  <c r="E93" i="4"/>
  <c r="F92" i="4"/>
  <c r="E83" i="4"/>
  <c r="E80" i="4"/>
  <c r="F82" i="4"/>
  <c r="C82" i="4"/>
  <c r="D91" i="4"/>
  <c r="D107" i="4"/>
  <c r="F72" i="4" s="1"/>
  <c r="D81" i="4"/>
  <c r="C72" i="4" s="1"/>
  <c r="C55" i="4"/>
  <c r="C32" i="4" s="1"/>
  <c r="D32" i="4"/>
  <c r="C106" i="4"/>
  <c r="F71" i="4" s="1"/>
  <c r="G182" i="4"/>
  <c r="C92" i="4"/>
  <c r="F90" i="4"/>
  <c r="C93" i="4"/>
  <c r="E90" i="4"/>
  <c r="E55" i="4"/>
  <c r="E32" i="4" s="1"/>
  <c r="D56" i="4"/>
  <c r="D33" i="4" s="1"/>
  <c r="F55" i="4"/>
  <c r="F32" i="4" s="1"/>
  <c r="E109" i="4"/>
  <c r="F108" i="4"/>
  <c r="D54" i="4"/>
  <c r="D31" i="4" s="1"/>
  <c r="C157" i="8" l="1"/>
  <c r="C159" i="8"/>
  <c r="D158" i="8"/>
  <c r="F116" i="5"/>
  <c r="F125" i="5" s="1"/>
  <c r="F134" i="5" s="1"/>
  <c r="D72" i="4"/>
  <c r="D157" i="8"/>
  <c r="F115" i="5"/>
  <c r="C117" i="5"/>
  <c r="C126" i="5" s="1"/>
  <c r="C135" i="5" s="1"/>
  <c r="E159" i="8"/>
  <c r="C115" i="5"/>
  <c r="C124" i="5" s="1"/>
  <c r="C133" i="5" s="1"/>
  <c r="E157" i="8"/>
  <c r="F159" i="8"/>
  <c r="D117" i="5"/>
  <c r="D126" i="5" s="1"/>
  <c r="D135" i="5" s="1"/>
  <c r="C116" i="5"/>
  <c r="C125" i="5" s="1"/>
  <c r="E158" i="8"/>
  <c r="F81" i="4"/>
  <c r="D92" i="4"/>
  <c r="E91" i="4"/>
  <c r="D90" i="4"/>
  <c r="D82" i="4"/>
  <c r="D93" i="4"/>
  <c r="E81" i="4"/>
  <c r="D80" i="4"/>
  <c r="D83" i="4"/>
  <c r="F91" i="4"/>
  <c r="C91" i="4"/>
  <c r="C81" i="4"/>
  <c r="C108" i="4"/>
  <c r="E126" i="5"/>
  <c r="D133" i="5"/>
  <c r="E106" i="4"/>
  <c r="E65" i="4"/>
  <c r="T33" i="4"/>
  <c r="F106" i="4"/>
  <c r="C63" i="4"/>
  <c r="T31" i="4"/>
  <c r="C107" i="4"/>
  <c r="C109" i="4"/>
  <c r="D106" i="4"/>
  <c r="D109" i="4"/>
  <c r="D108" i="4"/>
  <c r="F107" i="4"/>
  <c r="E107" i="4"/>
  <c r="E181" i="4"/>
  <c r="G181" i="4" s="1"/>
  <c r="C158" i="8" l="1"/>
  <c r="G117" i="5"/>
  <c r="C119" i="5"/>
  <c r="D116" i="5"/>
  <c r="F158" i="8"/>
  <c r="E74" i="4"/>
  <c r="F100" i="4"/>
  <c r="E101" i="4"/>
  <c r="E63" i="4"/>
  <c r="E14" i="5" s="1"/>
  <c r="E36" i="5" s="1"/>
  <c r="E58" i="5" s="1"/>
  <c r="E80" i="5" s="1"/>
  <c r="C134" i="5"/>
  <c r="C128" i="5"/>
  <c r="E135" i="5"/>
  <c r="G135" i="5" s="1"/>
  <c r="G126" i="5"/>
  <c r="F63" i="4"/>
  <c r="F14" i="5" s="1"/>
  <c r="F36" i="5" s="1"/>
  <c r="F58" i="5" s="1"/>
  <c r="F80" i="5" s="1"/>
  <c r="E66" i="4"/>
  <c r="E17" i="5" s="1"/>
  <c r="E39" i="5" s="1"/>
  <c r="E61" i="5" s="1"/>
  <c r="E83" i="5" s="1"/>
  <c r="C65" i="4"/>
  <c r="C16" i="5" s="1"/>
  <c r="C38" i="5" s="1"/>
  <c r="C60" i="5" s="1"/>
  <c r="C82" i="5" s="1"/>
  <c r="F65" i="4"/>
  <c r="F16" i="5" s="1"/>
  <c r="F38" i="5" s="1"/>
  <c r="F60" i="5" s="1"/>
  <c r="F82" i="5" s="1"/>
  <c r="C66" i="4"/>
  <c r="C17" i="5" s="1"/>
  <c r="C39" i="5" s="1"/>
  <c r="C61" i="5" s="1"/>
  <c r="C83" i="5" s="1"/>
  <c r="D64" i="4"/>
  <c r="D63" i="4" s="1"/>
  <c r="D14" i="5" s="1"/>
  <c r="D36" i="5" s="1"/>
  <c r="D58" i="5" s="1"/>
  <c r="D80" i="5" s="1"/>
  <c r="T32" i="4"/>
  <c r="E16" i="5" l="1"/>
  <c r="E38" i="5" s="1"/>
  <c r="E60" i="5" s="1"/>
  <c r="E82" i="5" s="1"/>
  <c r="E71" i="4"/>
  <c r="F98" i="4"/>
  <c r="E98" i="4"/>
  <c r="D98" i="4"/>
  <c r="C99" i="4"/>
  <c r="C100" i="4"/>
  <c r="C101" i="4"/>
  <c r="G160" i="8"/>
  <c r="E118" i="5"/>
  <c r="D119" i="5"/>
  <c r="D125" i="5"/>
  <c r="E72" i="4"/>
  <c r="E99" i="4"/>
  <c r="F99" i="4"/>
  <c r="D101" i="4"/>
  <c r="D100" i="4"/>
  <c r="F119" i="5"/>
  <c r="F124" i="5"/>
  <c r="C137" i="5"/>
  <c r="E64" i="4"/>
  <c r="E15" i="5" s="1"/>
  <c r="E37" i="5" s="1"/>
  <c r="E59" i="5" s="1"/>
  <c r="E81" i="5" s="1"/>
  <c r="D65" i="4"/>
  <c r="D16" i="5" s="1"/>
  <c r="D38" i="5" s="1"/>
  <c r="D60" i="5" s="1"/>
  <c r="D82" i="5" s="1"/>
  <c r="C64" i="4"/>
  <c r="C15" i="5" s="1"/>
  <c r="C37" i="5" s="1"/>
  <c r="C59" i="5" s="1"/>
  <c r="C81" i="5" s="1"/>
  <c r="F64" i="4"/>
  <c r="F15" i="5" s="1"/>
  <c r="F37" i="5" s="1"/>
  <c r="F59" i="5" s="1"/>
  <c r="F81" i="5" s="1"/>
  <c r="D66" i="4"/>
  <c r="D17" i="5" s="1"/>
  <c r="D39" i="5" s="1"/>
  <c r="D61" i="5" s="1"/>
  <c r="D83" i="5" s="1"/>
  <c r="E96" i="5" l="1"/>
  <c r="E116" i="5"/>
  <c r="G158" i="8"/>
  <c r="D134" i="5"/>
  <c r="D128" i="5"/>
  <c r="E127" i="5"/>
  <c r="G118" i="5"/>
  <c r="G157" i="8"/>
  <c r="E115" i="5"/>
  <c r="H104" i="5"/>
  <c r="B73" i="8"/>
  <c r="F133" i="5"/>
  <c r="F137" i="5" s="1"/>
  <c r="B117" i="8" s="1"/>
  <c r="C141" i="8" s="1"/>
  <c r="F128" i="5"/>
  <c r="E30" i="5"/>
  <c r="E52" i="5" s="1"/>
  <c r="E74" i="5" s="1"/>
  <c r="F17" i="5" l="1"/>
  <c r="F39" i="5" s="1"/>
  <c r="F61" i="5" s="1"/>
  <c r="F83" i="5" s="1"/>
  <c r="F96" i="5" s="1"/>
  <c r="D137" i="5"/>
  <c r="E136" i="5"/>
  <c r="G136" i="5" s="1"/>
  <c r="G127" i="5"/>
  <c r="G115" i="5"/>
  <c r="C14" i="5" s="1"/>
  <c r="E119" i="5"/>
  <c r="E124" i="5"/>
  <c r="E125" i="5"/>
  <c r="G116" i="5"/>
  <c r="D15" i="5" s="1"/>
  <c r="N116" i="8"/>
  <c r="B86" i="8"/>
  <c r="B99" i="8" s="1"/>
  <c r="H73" i="8"/>
  <c r="F30" i="5" l="1"/>
  <c r="F52" i="5" s="1"/>
  <c r="F74" i="5" s="1"/>
  <c r="E134" i="5"/>
  <c r="G134" i="5" s="1"/>
  <c r="G125" i="5"/>
  <c r="E128" i="5"/>
  <c r="E133" i="5"/>
  <c r="G124" i="5"/>
  <c r="D37" i="5"/>
  <c r="D59" i="5" s="1"/>
  <c r="D81" i="5" s="1"/>
  <c r="D96" i="5" s="1"/>
  <c r="D30" i="5"/>
  <c r="D52" i="5" s="1"/>
  <c r="D74" i="5" s="1"/>
  <c r="G119" i="5"/>
  <c r="B111" i="8"/>
  <c r="H86" i="8"/>
  <c r="H99" i="8" s="1"/>
  <c r="N113" i="8" l="1"/>
  <c r="B135" i="8"/>
  <c r="G128" i="5"/>
  <c r="E137" i="5"/>
  <c r="B118" i="8" s="1"/>
  <c r="G133" i="5"/>
  <c r="G137" i="5" s="1"/>
  <c r="C36" i="5"/>
  <c r="C58" i="5" s="1"/>
  <c r="C30" i="5"/>
  <c r="J22" i="12"/>
  <c r="N117" i="8" l="1"/>
  <c r="C142" i="8"/>
  <c r="C52" i="5"/>
  <c r="C74" i="5" s="1"/>
  <c r="S30" i="5"/>
  <c r="S52" i="5" s="1"/>
  <c r="S74" i="5" s="1"/>
  <c r="C80" i="5"/>
  <c r="H98" i="5" s="1"/>
  <c r="G43" i="12"/>
  <c r="G80" i="5" s="1"/>
  <c r="C103" i="5" s="1"/>
  <c r="J15" i="12"/>
  <c r="B103" i="5" l="1"/>
  <c r="B110" i="8" s="1"/>
  <c r="B134" i="8" s="1"/>
  <c r="G96" i="5"/>
  <c r="C96" i="5"/>
  <c r="J43" i="12"/>
  <c r="C50" i="12"/>
  <c r="J50" i="12"/>
  <c r="S96" i="5" l="1"/>
  <c r="B114" i="8"/>
  <c r="N112" i="8"/>
  <c r="C109" i="5"/>
  <c r="C72" i="8"/>
  <c r="H103" i="5"/>
  <c r="H109" i="5" s="1"/>
  <c r="B109" i="5"/>
  <c r="B72" i="8"/>
  <c r="C78" i="8" l="1"/>
  <c r="C85" i="8"/>
  <c r="C98" i="8" s="1"/>
  <c r="B85" i="8"/>
  <c r="B98" i="8" s="1"/>
  <c r="B78" i="8"/>
  <c r="H72" i="8"/>
  <c r="H78" i="8" s="1"/>
  <c r="B119" i="8" l="1"/>
  <c r="C137" i="8" s="1"/>
  <c r="C143" i="8" s="1"/>
  <c r="C91" i="8"/>
  <c r="C104" i="8" s="1"/>
  <c r="B91" i="8"/>
  <c r="B104" i="8" s="1"/>
  <c r="H85" i="8"/>
  <c r="H98" i="8" s="1"/>
  <c r="B124" i="8" l="1"/>
  <c r="B126" i="8" s="1"/>
  <c r="N118" i="8"/>
  <c r="H91" i="8"/>
  <c r="H104" i="8" s="1"/>
</calcChain>
</file>

<file path=xl/sharedStrings.xml><?xml version="1.0" encoding="utf-8"?>
<sst xmlns="http://schemas.openxmlformats.org/spreadsheetml/2006/main" count="2224" uniqueCount="628">
  <si>
    <t>INTRODUCTION</t>
  </si>
  <si>
    <t>Step 1. Stratification of land base.</t>
  </si>
  <si>
    <t>Reference material</t>
  </si>
  <si>
    <t>Reporting periods</t>
  </si>
  <si>
    <t>Forest land</t>
  </si>
  <si>
    <t>Cropland</t>
  </si>
  <si>
    <t>Grassland</t>
  </si>
  <si>
    <t>Wetlands</t>
  </si>
  <si>
    <t>Settlements</t>
  </si>
  <si>
    <t>Other</t>
  </si>
  <si>
    <t>Forest land remaining forest</t>
  </si>
  <si>
    <t>Forest land converted to Cropland</t>
  </si>
  <si>
    <t>Forest land converted to Grassland</t>
  </si>
  <si>
    <t>Forest land converted to Wetlands</t>
  </si>
  <si>
    <t>Forest land converted to Settlements</t>
  </si>
  <si>
    <t>Forest land converted to Other land</t>
  </si>
  <si>
    <t>Cropland converted to Forest land</t>
  </si>
  <si>
    <t>Cropland remaining Cropland</t>
  </si>
  <si>
    <t>Cropland converted to Grassland</t>
  </si>
  <si>
    <t>Cropland converted to Wetlands</t>
  </si>
  <si>
    <t>Cropland converted to Settlements</t>
  </si>
  <si>
    <t>Cropland converted to Other land</t>
  </si>
  <si>
    <t>Grassland converted to Forest land</t>
  </si>
  <si>
    <t>Grassland converted to Cropland</t>
  </si>
  <si>
    <t>Grassland remaining Grassland</t>
  </si>
  <si>
    <t>Grassland converted to Wetlands</t>
  </si>
  <si>
    <t>Grassland converted to Settlements</t>
  </si>
  <si>
    <t>Grassland converted to Other land</t>
  </si>
  <si>
    <t>Wetlands converted to Forest land</t>
  </si>
  <si>
    <t>Wetlands converted to Cropland</t>
  </si>
  <si>
    <t>Wetlands converted to Grassland</t>
  </si>
  <si>
    <t>Wetlands remaining Wetlands</t>
  </si>
  <si>
    <t>Wetlands converted to Settlements</t>
  </si>
  <si>
    <t>Wetlands converted to Other land</t>
  </si>
  <si>
    <t>Settlements converted to Forest land</t>
  </si>
  <si>
    <t>Settlements converted to Cropland</t>
  </si>
  <si>
    <t>Settlements converted to Grassland</t>
  </si>
  <si>
    <t>Settlements converted to Wetlands</t>
  </si>
  <si>
    <t>Settlements remaining Settlements</t>
  </si>
  <si>
    <t>Settlements converted to Other land</t>
  </si>
  <si>
    <t>Other lands converted to Forest land</t>
  </si>
  <si>
    <t>Other lands converted to Cropland</t>
  </si>
  <si>
    <t>Other lands converted to Grassland</t>
  </si>
  <si>
    <t>Other lands converted to Wetlands</t>
  </si>
  <si>
    <t>Other lands converted to Settlements</t>
  </si>
  <si>
    <t>Other lands remaining Other lands</t>
  </si>
  <si>
    <r>
      <t>Step 5 – Calculate non-CO</t>
    </r>
    <r>
      <rPr>
        <b/>
        <vertAlign val="subscript"/>
        <sz val="11"/>
        <color theme="1"/>
        <rFont val="Calibri"/>
        <family val="2"/>
      </rPr>
      <t>2</t>
    </r>
    <r>
      <rPr>
        <b/>
        <sz val="11"/>
        <color theme="1"/>
        <rFont val="Calibri"/>
        <family val="2"/>
      </rPr>
      <t xml:space="preserve"> emissions (</t>
    </r>
    <r>
      <rPr>
        <b/>
        <i/>
        <sz val="11"/>
        <color theme="1"/>
        <rFont val="Calibri"/>
        <family val="2"/>
      </rPr>
      <t>GHG</t>
    </r>
    <r>
      <rPr>
        <b/>
        <i/>
        <vertAlign val="subscript"/>
        <sz val="11"/>
        <color theme="1"/>
        <rFont val="Calibri"/>
        <family val="2"/>
      </rPr>
      <t>nonCO2</t>
    </r>
    <r>
      <rPr>
        <b/>
        <sz val="11"/>
        <color theme="1"/>
        <rFont val="Calibri"/>
        <family val="2"/>
      </rPr>
      <t>) if appropriate</t>
    </r>
  </si>
  <si>
    <t>Step 6 – Calculate C stock changes in the HWP pool (if appropriate).</t>
  </si>
  <si>
    <t>Forest remaining forest (undisturbed)</t>
  </si>
  <si>
    <t>"Standard" stratification matrix based on land-use change categories and NLCD classifications.</t>
  </si>
  <si>
    <t>Wetland</t>
  </si>
  <si>
    <t>Settlement</t>
  </si>
  <si>
    <t>Other land</t>
  </si>
  <si>
    <t>Evergreen</t>
  </si>
  <si>
    <t>Mixed</t>
  </si>
  <si>
    <t>Deciduous</t>
  </si>
  <si>
    <t>Forested wetlands</t>
  </si>
  <si>
    <t>Hay / pasture</t>
  </si>
  <si>
    <t>Herbaceous</t>
  </si>
  <si>
    <t>Shrub / scrub</t>
  </si>
  <si>
    <t>Open water</t>
  </si>
  <si>
    <t>Scrub / herbaceous wetlands</t>
  </si>
  <si>
    <t>High intensity</t>
  </si>
  <si>
    <t>Medium intensity</t>
  </si>
  <si>
    <t>Low intensity</t>
  </si>
  <si>
    <t>Open space</t>
  </si>
  <si>
    <t>Barren land</t>
  </si>
  <si>
    <t>Snow/Ice</t>
  </si>
  <si>
    <t>Snow / ice</t>
  </si>
  <si>
    <t>Working forests</t>
  </si>
  <si>
    <t>Forest Type</t>
  </si>
  <si>
    <t>Age class</t>
  </si>
  <si>
    <t>0-20</t>
  </si>
  <si>
    <t>20-100</t>
  </si>
  <si>
    <t>100+</t>
  </si>
  <si>
    <t>Data from Smith et al. (2006)</t>
  </si>
  <si>
    <t>Forested wetland</t>
  </si>
  <si>
    <t>Total</t>
  </si>
  <si>
    <t>21-100</t>
  </si>
  <si>
    <t>total</t>
  </si>
  <si>
    <t>Age-weighted RF by type</t>
  </si>
  <si>
    <t>Area-weighted RF by NLCD class</t>
  </si>
  <si>
    <t>total area</t>
  </si>
  <si>
    <t>Proportion of area within class</t>
  </si>
  <si>
    <t>Proportion of total forest area</t>
  </si>
  <si>
    <t>Proportion deciduous</t>
  </si>
  <si>
    <t>Proportion evergreen</t>
  </si>
  <si>
    <t>Time 2:</t>
  </si>
  <si>
    <t>Time 1:</t>
  </si>
  <si>
    <t>Removal factor from sources</t>
  </si>
  <si>
    <t>Enter data</t>
  </si>
  <si>
    <t>NLCD removal factor 
(tonnes C/ha/yr)</t>
  </si>
  <si>
    <t>Total area</t>
  </si>
  <si>
    <t>Calculation of removal factors for undisturbed "forest remaining forest"</t>
  </si>
  <si>
    <t>Data from disturbance database</t>
  </si>
  <si>
    <t>Emission factor from sources</t>
  </si>
  <si>
    <t>Area weights for averaging by age class and converting forest type to NLCD classes</t>
  </si>
  <si>
    <t>Calculation of emission factors for disturbed "forest remaining forest"</t>
  </si>
  <si>
    <t>Calculation of average removal factors for undisturbed plus disturbed "forest remaining forest"</t>
  </si>
  <si>
    <t>Emission or removal factor</t>
  </si>
  <si>
    <t xml:space="preserve">Based on regional FIA data retrievals re-formatted to populate the spreadsheet tables (see guidance documents) </t>
  </si>
  <si>
    <t>2006-2011</t>
  </si>
  <si>
    <t>mt/ha/yr</t>
  </si>
  <si>
    <t>Forest type</t>
  </si>
  <si>
    <t>County area</t>
  </si>
  <si>
    <t>ha</t>
  </si>
  <si>
    <t>NOTE: negative number = net gain (removal) after disturbance</t>
  </si>
  <si>
    <r>
      <rPr>
        <b/>
        <i/>
        <u/>
        <sz val="11"/>
        <color theme="1"/>
        <rFont val="Calibri"/>
        <family val="2"/>
        <scheme val="minor"/>
      </rPr>
      <t>Fire</t>
    </r>
    <r>
      <rPr>
        <b/>
        <sz val="11"/>
        <color theme="1"/>
        <rFont val="Calibri"/>
        <family val="2"/>
        <scheme val="minor"/>
      </rPr>
      <t>, 75-100% severity, cumulative loss over 20 years</t>
    </r>
  </si>
  <si>
    <r>
      <rPr>
        <b/>
        <i/>
        <u/>
        <sz val="11"/>
        <color theme="1"/>
        <rFont val="Calibri"/>
        <family val="2"/>
        <scheme val="minor"/>
      </rPr>
      <t>Insect</t>
    </r>
    <r>
      <rPr>
        <b/>
        <sz val="11"/>
        <color theme="1"/>
        <rFont val="Calibri"/>
        <family val="2"/>
        <scheme val="minor"/>
      </rPr>
      <t>, 75-100% severity, cumulative loss over 20 years</t>
    </r>
  </si>
  <si>
    <r>
      <rPr>
        <b/>
        <i/>
        <u/>
        <sz val="11"/>
        <color theme="1"/>
        <rFont val="Calibri"/>
        <family val="2"/>
        <scheme val="minor"/>
      </rPr>
      <t>Harvest</t>
    </r>
    <r>
      <rPr>
        <b/>
        <sz val="11"/>
        <color theme="1"/>
        <rFont val="Calibri"/>
        <family val="2"/>
        <scheme val="minor"/>
      </rPr>
      <t>, 75-100% severity, cumulative loss over 20 years</t>
    </r>
  </si>
  <si>
    <t>Forest remaining forest</t>
  </si>
  <si>
    <t>Forest converted to nonforest</t>
  </si>
  <si>
    <t>Biomass</t>
  </si>
  <si>
    <t>Dead organic</t>
  </si>
  <si>
    <t>Soil</t>
  </si>
  <si>
    <t>Carbon pool</t>
  </si>
  <si>
    <t>Forest class</t>
  </si>
  <si>
    <t>Cultivated crops</t>
  </si>
  <si>
    <t>NOTE: other severities possible for all disturbances.</t>
  </si>
  <si>
    <t>County average initial C stock (Mt/ha)</t>
  </si>
  <si>
    <t>Carbon loss (MtC/ha)</t>
  </si>
  <si>
    <t>Nonforest converted to forest</t>
  </si>
  <si>
    <t>Avg annual change, first 20 years</t>
  </si>
  <si>
    <t>Removal rate based on regional FIA data retrievals re-formatted to populate the spreadsheet tables</t>
  </si>
  <si>
    <t>From Smith et al. 2006</t>
  </si>
  <si>
    <t>NOTE: may need to adjust afforestation of grassland to have less soil C increment than other classes (see Steve's assumptions for deforestation)</t>
  </si>
  <si>
    <t>F&gt;F summary</t>
  </si>
  <si>
    <t>Total change in C stock</t>
  </si>
  <si>
    <t>!!CHECK!!</t>
  </si>
  <si>
    <t>TOTAL</t>
  </si>
  <si>
    <t>Sum should =1.000</t>
  </si>
  <si>
    <t>Positive number = C loss. Likely range = -5 to +1</t>
  </si>
  <si>
    <t>Positive number = C loss. Likely range = 0 to 500</t>
  </si>
  <si>
    <t>Positive number = C loss. Likely range = -50 to 200</t>
  </si>
  <si>
    <t xml:space="preserve">Positive number = C loss. Likely range = -6 to +2 </t>
  </si>
  <si>
    <t>Positive number = C loss. Likely range = -6 to +1</t>
  </si>
  <si>
    <t>Positive number = C loss. Likely range = -8 to -2</t>
  </si>
  <si>
    <t>Avg annual change</t>
  </si>
  <si>
    <t>(ha)</t>
  </si>
  <si>
    <t>Start year</t>
  </si>
  <si>
    <t>End year</t>
  </si>
  <si>
    <t>Fire</t>
  </si>
  <si>
    <t>Insect</t>
  </si>
  <si>
    <t>Harvest</t>
  </si>
  <si>
    <t>Disturbance type (proportion of area disturbed)</t>
  </si>
  <si>
    <t>Emission factors (from below)</t>
  </si>
  <si>
    <t>Estimated emissions over period</t>
  </si>
  <si>
    <t>NLCD emission factor 
(cumulative tonnes C/ha)</t>
  </si>
  <si>
    <t>(cumulative tonnes C/ha)</t>
  </si>
  <si>
    <t>(cumulative tonnes C)</t>
  </si>
  <si>
    <t>NLCD Undisturbed removal factor</t>
  </si>
  <si>
    <t>NLCD Disturbed emissions</t>
  </si>
  <si>
    <t>(Cumulative tonnes C)</t>
  </si>
  <si>
    <t>(Tonnes C/ha/yr)</t>
  </si>
  <si>
    <t>Average over period (tonnes C/ha/yr)</t>
  </si>
  <si>
    <t>NLCD ADJUSTED removal factor 
(tonnes C/ha/yr)</t>
  </si>
  <si>
    <t>Notes: data may be difficult to obtain until LCMS is available everywhere. Harvesting MAY include some LUC.</t>
  </si>
  <si>
    <t>Enter local data if available</t>
  </si>
  <si>
    <t>Forest converted to Cropland</t>
  </si>
  <si>
    <t>Forest converted to Wetlands</t>
  </si>
  <si>
    <t>Forest converted to Settlements</t>
  </si>
  <si>
    <t>Forest converted to Other land</t>
  </si>
  <si>
    <r>
      <t>Biomass C</t>
    </r>
    <r>
      <rPr>
        <vertAlign val="superscript"/>
        <sz val="11"/>
        <rFont val="Calibri Light"/>
        <family val="2"/>
      </rPr>
      <t>1</t>
    </r>
  </si>
  <si>
    <t>Dead Organic Matter C</t>
  </si>
  <si>
    <r>
      <t>Soil Organic C</t>
    </r>
    <r>
      <rPr>
        <vertAlign val="superscript"/>
        <sz val="11"/>
        <rFont val="Calibri Light"/>
        <family val="2"/>
      </rPr>
      <t>2</t>
    </r>
    <r>
      <rPr>
        <sz val="8"/>
        <rFont val="Calibri Light"/>
        <family val="2"/>
      </rPr>
      <t>  </t>
    </r>
  </si>
  <si>
    <t>Forest converted to Grassland (West)</t>
  </si>
  <si>
    <t>Proportion of carbon stock lost</t>
  </si>
  <si>
    <t>NOTE: this is average initial C from county FIA.  Could use mapped estimates instead.</t>
  </si>
  <si>
    <t>Year 1</t>
  </si>
  <si>
    <t>Year 2</t>
  </si>
  <si>
    <t>Units are hectares</t>
  </si>
  <si>
    <r>
      <rPr>
        <b/>
        <i/>
        <sz val="11"/>
        <color theme="1"/>
        <rFont val="Calibri"/>
        <family val="2"/>
        <scheme val="minor"/>
      </rPr>
      <t>Carbon</t>
    </r>
    <r>
      <rPr>
        <sz val="11"/>
        <color theme="1"/>
        <rFont val="Calibri"/>
        <family val="2"/>
        <scheme val="minor"/>
      </rPr>
      <t xml:space="preserve"> calculations based on data entered in steps 2 and 3. </t>
    </r>
  </si>
  <si>
    <t xml:space="preserve">Identify the years or periods for reporting. Many calculations depend on this timeframe. </t>
  </si>
  <si>
    <t>"Simplifed" stratification matrix based on land-use change categories and NLCD classifications.</t>
  </si>
  <si>
    <t>Start year:</t>
  </si>
  <si>
    <t>End year:</t>
  </si>
  <si>
    <t>Emission and removal factors for detailed stratification of nonforest areas and transitions are not available</t>
  </si>
  <si>
    <t>Units are metric tons C per period</t>
  </si>
  <si>
    <r>
      <t>Units are metric tons CO</t>
    </r>
    <r>
      <rPr>
        <b/>
        <vertAlign val="subscript"/>
        <sz val="11"/>
        <color theme="1"/>
        <rFont val="Calibri"/>
        <family val="2"/>
        <scheme val="minor"/>
      </rPr>
      <t>2</t>
    </r>
    <r>
      <rPr>
        <b/>
        <sz val="11"/>
        <color theme="1"/>
        <rFont val="Calibri"/>
        <family val="2"/>
        <scheme val="minor"/>
      </rPr>
      <t xml:space="preserve"> per</t>
    </r>
    <r>
      <rPr>
        <b/>
        <vertAlign val="subscript"/>
        <sz val="11"/>
        <color theme="1"/>
        <rFont val="Calibri"/>
        <family val="2"/>
        <scheme val="minor"/>
      </rPr>
      <t xml:space="preserve"> </t>
    </r>
    <r>
      <rPr>
        <b/>
        <sz val="11"/>
        <color theme="1"/>
        <rFont val="Calibri"/>
        <family val="2"/>
        <scheme val="minor"/>
      </rPr>
      <t>period</t>
    </r>
  </si>
  <si>
    <r>
      <t>Units are metric tons CO</t>
    </r>
    <r>
      <rPr>
        <b/>
        <vertAlign val="subscript"/>
        <sz val="11"/>
        <color theme="1"/>
        <rFont val="Calibri"/>
        <family val="2"/>
        <scheme val="minor"/>
      </rPr>
      <t>2</t>
    </r>
    <r>
      <rPr>
        <b/>
        <sz val="11"/>
        <color theme="1"/>
        <rFont val="Calibri"/>
        <family val="2"/>
        <scheme val="minor"/>
      </rPr>
      <t xml:space="preserve"> per year</t>
    </r>
  </si>
  <si>
    <t>State</t>
  </si>
  <si>
    <t>Sequestration</t>
  </si>
  <si>
    <t>Gross</t>
  </si>
  <si>
    <t>Net</t>
  </si>
  <si>
    <t>(t/ha/yr)</t>
  </si>
  <si>
    <t>Net = total removal minus mortality and harvest</t>
  </si>
  <si>
    <t>C storage</t>
  </si>
  <si>
    <t xml:space="preserve">(t/ha) </t>
  </si>
  <si>
    <t>City</t>
  </si>
  <si>
    <t>Tree cover</t>
  </si>
  <si>
    <t>(%)</t>
  </si>
  <si>
    <t>Removal factors for trees outside forests</t>
  </si>
  <si>
    <t>Emission factors for trees outside forests</t>
  </si>
  <si>
    <t>NOTE: assuming all NF classes have same storage/tree cover area (t/ha) as settlements</t>
  </si>
  <si>
    <t>NOTE: assuming all NF classes have same rates/tree cover area (t/ha/yr) as settlements</t>
  </si>
  <si>
    <t xml:space="preserve">Standard county-wide estimates based on harvest records </t>
  </si>
  <si>
    <t>Average amount of HWP carbon from the current year’s harvest (for each year of the inventory period) that remains stored in end uses and landfills over the subsequent 100 years.</t>
  </si>
  <si>
    <t>Enter harvest data</t>
  </si>
  <si>
    <r>
      <t xml:space="preserve">Units are hectares of tree cover </t>
    </r>
    <r>
      <rPr>
        <b/>
        <i/>
        <sz val="11"/>
        <color theme="1"/>
        <rFont val="Calibri"/>
        <family val="2"/>
        <scheme val="minor"/>
      </rPr>
      <t>loss</t>
    </r>
    <r>
      <rPr>
        <b/>
        <sz val="11"/>
        <color theme="1"/>
        <rFont val="Calibri"/>
        <family val="2"/>
        <scheme val="minor"/>
      </rPr>
      <t xml:space="preserve"> for "non-forest remaining non-forest" categories.</t>
    </r>
  </si>
  <si>
    <t>Includes both removals by average tree canopy area plus emissions from loss of tree canopy during the inventory period</t>
  </si>
  <si>
    <r>
      <t>Units are metric tons CO</t>
    </r>
    <r>
      <rPr>
        <b/>
        <vertAlign val="subscript"/>
        <sz val="11"/>
        <color theme="1"/>
        <rFont val="Calibri"/>
        <family val="2"/>
        <scheme val="minor"/>
      </rPr>
      <t>2</t>
    </r>
    <r>
      <rPr>
        <b/>
        <sz val="11"/>
        <color theme="1"/>
        <rFont val="Calibri"/>
        <family val="2"/>
        <scheme val="minor"/>
      </rPr>
      <t xml:space="preserve"> per period</t>
    </r>
  </si>
  <si>
    <t xml:space="preserve">USDA Guidelines approach to HWP -- regional lookup tables </t>
  </si>
  <si>
    <t>Region</t>
  </si>
  <si>
    <t>Specific</t>
  </si>
  <si>
    <r>
      <t>Gravity</t>
    </r>
    <r>
      <rPr>
        <b/>
        <vertAlign val="superscript"/>
        <sz val="10"/>
        <color rgb="FFFFFFFF"/>
        <rFont val="Cambria"/>
        <family val="1"/>
      </rPr>
      <t xml:space="preserve">d </t>
    </r>
    <r>
      <rPr>
        <b/>
        <sz val="10"/>
        <color rgb="FFFFFFFF"/>
        <rFont val="Cambria"/>
        <family val="1"/>
      </rPr>
      <t>of Softwoods</t>
    </r>
  </si>
  <si>
    <r>
      <t>Gravity</t>
    </r>
    <r>
      <rPr>
        <b/>
        <vertAlign val="superscript"/>
        <sz val="10"/>
        <color rgb="FFFFFFFF"/>
        <rFont val="Cambria"/>
        <family val="1"/>
      </rPr>
      <t xml:space="preserve">d </t>
    </r>
    <r>
      <rPr>
        <b/>
        <sz val="10"/>
        <color rgb="FFFFFFFF"/>
        <rFont val="Cambria"/>
        <family val="1"/>
      </rPr>
      <t>of Hardwoods</t>
    </r>
  </si>
  <si>
    <t>Year of harvest</t>
  </si>
  <si>
    <t>HWD saw (1000 cu ft)</t>
  </si>
  <si>
    <t>HWD pulp (1000 cu ft)</t>
  </si>
  <si>
    <t>SWD saw (1000 cu ft)</t>
  </si>
  <si>
    <t>SWD pulp (1000 cu ft)</t>
  </si>
  <si>
    <t>HWD saw (1000 lbs C)</t>
  </si>
  <si>
    <t>HWD pulp (1000 lbs C)</t>
  </si>
  <si>
    <t>SWD saw (1000 lbs C)</t>
  </si>
  <si>
    <t>SWD pulp (1000 lbs C)</t>
  </si>
  <si>
    <t>Table 6‑A-5: 100-year Average Disposition of Carbon as Fractions in Roundwood by Region and Roundwood Category</t>
  </si>
  <si>
    <t>In use</t>
  </si>
  <si>
    <t>Saw log</t>
  </si>
  <si>
    <t>Total Emissions</t>
  </si>
  <si>
    <t>Pulpwood</t>
  </si>
  <si>
    <t>In Landfills</t>
  </si>
  <si>
    <t>Total Stored</t>
  </si>
  <si>
    <t>Calculation of average C stored</t>
  </si>
  <si>
    <t>Softwoods</t>
  </si>
  <si>
    <t>Hardwoods</t>
  </si>
  <si>
    <t>Estimates represent cumulative harvest over the inventory period</t>
  </si>
  <si>
    <t>Enter years of inventory period</t>
  </si>
  <si>
    <t>Step 6-3: Estimate average disposition of C over 100 years</t>
  </si>
  <si>
    <t>Roundwood all spp. (from county records)</t>
  </si>
  <si>
    <t>Enter ratios by wood type from FIA TPO database</t>
  </si>
  <si>
    <t>Total all years</t>
  </si>
  <si>
    <t>In landfills</t>
  </si>
  <si>
    <t>Total stored</t>
  </si>
  <si>
    <t>Total emitted</t>
  </si>
  <si>
    <t xml:space="preserve">Grand total all species and wood types </t>
  </si>
  <si>
    <t xml:space="preserve">Custom estimates based on harvest records </t>
  </si>
  <si>
    <r>
      <t>Units are metric tons CO</t>
    </r>
    <r>
      <rPr>
        <b/>
        <vertAlign val="subscript"/>
        <sz val="11"/>
        <color theme="1"/>
        <rFont val="Calibri"/>
        <family val="2"/>
        <scheme val="minor"/>
      </rPr>
      <t xml:space="preserve">2 </t>
    </r>
    <r>
      <rPr>
        <b/>
        <sz val="11"/>
        <color theme="1"/>
        <rFont val="Calibri"/>
        <family val="2"/>
        <scheme val="minor"/>
      </rPr>
      <t>per period</t>
    </r>
  </si>
  <si>
    <t>Units are 1000 lbs C per period</t>
  </si>
  <si>
    <t>NOTE: "total stored" represents delayed emissions from wood products harvested from all land categories</t>
  </si>
  <si>
    <t>NOTE: "total emitted" is already accounted for in estimated emissions from harvest for all land categories</t>
  </si>
  <si>
    <t>Enter data from separate spreadsheet or other source</t>
  </si>
  <si>
    <t>Summary GHG inventory</t>
  </si>
  <si>
    <t>Trees outside forests</t>
  </si>
  <si>
    <t>non-CO2 gases</t>
  </si>
  <si>
    <t>Basic land-use and land-use change matrix -- cells representing forest-related categories highlighted in blue, "trees outside forest" fall in yellow cells</t>
  </si>
  <si>
    <t>Note:  The greyed out boxes represent areas of land that are not already covered by "Forests" and "Forest transitions"</t>
  </si>
  <si>
    <t>Total tC</t>
  </si>
  <si>
    <t>Total tC02</t>
  </si>
  <si>
    <t>Workbook for calculating community-scale GHG inventory for Forest Land and Trees Outside Forests</t>
  </si>
  <si>
    <t xml:space="preserve">Step 2 (Forest Land). Determine activity data for estimation of forest-related emissions and removals </t>
  </si>
  <si>
    <t xml:space="preserve">Step 2 (TOF). Determine tree canopy data for estimation of nonforest-related emissions and removals </t>
  </si>
  <si>
    <t>Step 3 (Forest Land) – Determine the appropriate emission/removal factors for all land use and change categories (disaggregated by sub-strata if appropriate)</t>
  </si>
  <si>
    <t>Step 3 (TOF) – Determine the appropriate emission/removal factors for nonforest remaining nonforest</t>
  </si>
  <si>
    <t>All figures in tCO2e/yr</t>
  </si>
  <si>
    <t>Percentages that are correctly  placed in the land use categories (F&gt;GL or GL&gt;F)</t>
  </si>
  <si>
    <t>% of change</t>
  </si>
  <si>
    <t>This tab is used to correct for NLCD land cover vs. IPCC land use</t>
  </si>
  <si>
    <t>Note:  Currently this tab only corrects for the F&gt;GL and GL&gt;F categories</t>
  </si>
  <si>
    <t>Total area disturbed by type of disturbance</t>
  </si>
  <si>
    <t>Insects</t>
  </si>
  <si>
    <t>Non-LCC area disturbed by type of disturbance</t>
  </si>
  <si>
    <t>Weather</t>
  </si>
  <si>
    <t>Enter data from FIA or LCMS</t>
  </si>
  <si>
    <t>Enter percentages</t>
  </si>
  <si>
    <t>Evergreen to grassland</t>
  </si>
  <si>
    <t>Mixed to grassland</t>
  </si>
  <si>
    <t>Deciduous to grassland</t>
  </si>
  <si>
    <r>
      <t>Step 7 – Estimate total net GHG flux from forest land and trees outside forests over the inventory analysis period, and annualize the result into units of t CO</t>
    </r>
    <r>
      <rPr>
        <b/>
        <vertAlign val="subscript"/>
        <sz val="11"/>
        <color theme="1"/>
        <rFont val="Calibri"/>
        <family val="2"/>
      </rPr>
      <t>2</t>
    </r>
    <r>
      <rPr>
        <b/>
        <sz val="11"/>
        <color theme="1"/>
        <rFont val="Calibri"/>
        <family val="2"/>
      </rPr>
      <t>e/yr</t>
    </r>
  </si>
  <si>
    <t>Deforestation:</t>
  </si>
  <si>
    <t>Afforestation:</t>
  </si>
  <si>
    <t>Area correction</t>
  </si>
  <si>
    <t>Forest converted to grassland</t>
  </si>
  <si>
    <t>Grassland converted to forest</t>
  </si>
  <si>
    <t>Grassland remaining grassland</t>
  </si>
  <si>
    <t>(hectares)</t>
  </si>
  <si>
    <t>"Standard" stratification matrix based on land-cover change categories and NLCD classifications.</t>
  </si>
  <si>
    <t>Corrected for F&gt;F</t>
  </si>
  <si>
    <t>***Adjusted for F&gt;F corrections***</t>
  </si>
  <si>
    <t>Uncorrected for F&gt;F</t>
  </si>
  <si>
    <t>Forest remaining forest 
(harvested)</t>
  </si>
  <si>
    <t>Forest remaining forest 
(natural disturbance)</t>
  </si>
  <si>
    <t>Forest converted to settlement</t>
  </si>
  <si>
    <r>
      <t>Units are metric tons CO</t>
    </r>
    <r>
      <rPr>
        <b/>
        <vertAlign val="subscript"/>
        <sz val="11"/>
        <color theme="1"/>
        <rFont val="Calibri"/>
        <family val="2"/>
        <scheme val="minor"/>
      </rPr>
      <t xml:space="preserve">2 </t>
    </r>
    <r>
      <rPr>
        <b/>
        <sz val="11"/>
        <color theme="1"/>
        <rFont val="Calibri"/>
        <family val="2"/>
        <scheme val="minor"/>
      </rPr>
      <t>per year</t>
    </r>
  </si>
  <si>
    <t>Total removals</t>
  </si>
  <si>
    <t>Total emissions</t>
  </si>
  <si>
    <t>Net GHG balance</t>
  </si>
  <si>
    <t>Forest converted to other nonforest</t>
  </si>
  <si>
    <t>Short labels for graphic</t>
  </si>
  <si>
    <r>
      <t>F</t>
    </r>
    <r>
      <rPr>
        <sz val="11"/>
        <color theme="1"/>
        <rFont val="Calibri"/>
        <family val="2"/>
      </rPr>
      <t>→F undisturbed</t>
    </r>
  </si>
  <si>
    <t>NF→F</t>
  </si>
  <si>
    <t>HWP</t>
  </si>
  <si>
    <r>
      <t>F</t>
    </r>
    <r>
      <rPr>
        <sz val="11"/>
        <color theme="1"/>
        <rFont val="Calibri"/>
        <family val="2"/>
      </rPr>
      <t>→F harvested</t>
    </r>
  </si>
  <si>
    <r>
      <t>F</t>
    </r>
    <r>
      <rPr>
        <sz val="11"/>
        <color theme="1"/>
        <rFont val="Calibri"/>
        <family val="2"/>
      </rPr>
      <t>→F disturbed</t>
    </r>
  </si>
  <si>
    <t>F→grass</t>
  </si>
  <si>
    <t>F→settlement</t>
  </si>
  <si>
    <t>F→other NF</t>
  </si>
  <si>
    <t>Metric tons CO2e/ha/yr</t>
  </si>
  <si>
    <t>Undisturbed forest</t>
  </si>
  <si>
    <t>Undisturbed + disturbed forest</t>
  </si>
  <si>
    <t>Metric tons CO2e/ha</t>
  </si>
  <si>
    <t>Sidebar -- land-use change (hectares)</t>
  </si>
  <si>
    <t>Sidebar -- disturbances during inventory period (hectares)</t>
  </si>
  <si>
    <t>Forest to nonforest:</t>
  </si>
  <si>
    <t>Harvesting:</t>
  </si>
  <si>
    <t>Fire:</t>
  </si>
  <si>
    <t>Insects:</t>
  </si>
  <si>
    <t>Total area disturbed:</t>
  </si>
  <si>
    <t>Weather:</t>
  </si>
  <si>
    <r>
      <t>Removal factors</t>
    </r>
    <r>
      <rPr>
        <vertAlign val="superscript"/>
        <sz val="11"/>
        <color theme="1"/>
        <rFont val="Calibri"/>
        <family val="2"/>
        <scheme val="minor"/>
      </rPr>
      <t>1</t>
    </r>
  </si>
  <si>
    <r>
      <t>Emission factors</t>
    </r>
    <r>
      <rPr>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</si>
  <si>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Regional averages adjusted for local age-class distributions</t>
    </r>
  </si>
  <si>
    <r>
      <rPr>
        <vertAlign val="superscript"/>
        <sz val="11"/>
        <color theme="1"/>
        <rFont val="Calibri"/>
        <family val="2"/>
        <scheme val="minor"/>
      </rPr>
      <t>3</t>
    </r>
    <r>
      <rPr>
        <sz val="11"/>
        <color theme="1"/>
        <rFont val="Calibri"/>
        <family val="2"/>
        <scheme val="minor"/>
      </rPr>
      <t>High productivity sites, intensive management</t>
    </r>
  </si>
  <si>
    <r>
      <t>Trees outside forests</t>
    </r>
    <r>
      <rPr>
        <vertAlign val="superscript"/>
        <sz val="11"/>
        <color theme="1"/>
        <rFont val="Calibri"/>
        <family val="2"/>
        <scheme val="minor"/>
      </rPr>
      <t>4</t>
    </r>
  </si>
  <si>
    <r>
      <rPr>
        <vertAlign val="superscript"/>
        <sz val="11"/>
        <color theme="1"/>
        <rFont val="Calibri"/>
        <family val="2"/>
        <scheme val="minor"/>
      </rPr>
      <t>4</t>
    </r>
    <r>
      <rPr>
        <sz val="11"/>
        <color theme="1"/>
        <rFont val="Calibri"/>
        <family val="2"/>
        <scheme val="minor"/>
      </rPr>
      <t>State averages</t>
    </r>
  </si>
  <si>
    <t>Biomass C</t>
  </si>
  <si>
    <r>
      <t>Soil Organic C</t>
    </r>
    <r>
      <rPr>
        <sz val="8"/>
        <rFont val="Calibri"/>
        <family val="2"/>
        <scheme val="minor"/>
      </rPr>
      <t>  </t>
    </r>
  </si>
  <si>
    <r>
      <t>Emission factors (percent of C stock lost)</t>
    </r>
    <r>
      <rPr>
        <vertAlign val="superscript"/>
        <sz val="11"/>
        <color theme="1"/>
        <rFont val="Calibri"/>
        <family val="2"/>
        <scheme val="minor"/>
      </rPr>
      <t>1</t>
    </r>
  </si>
  <si>
    <t>F-wetland to grassland</t>
  </si>
  <si>
    <t>NOTE: this is a summary of area corrections for reporting</t>
  </si>
  <si>
    <t>Grass to evergreen</t>
  </si>
  <si>
    <t>Grass to mixed</t>
  </si>
  <si>
    <t>Grass to deciduous</t>
  </si>
  <si>
    <t>Grass to F-wetland</t>
  </si>
  <si>
    <r>
      <t>(adjusted for F&gt;F correction</t>
    </r>
    <r>
      <rPr>
        <vertAlign val="superscript"/>
        <sz val="11"/>
        <color theme="1"/>
        <rFont val="Calibri"/>
        <family val="2"/>
        <scheme val="minor"/>
      </rPr>
      <t>1</t>
    </r>
    <r>
      <rPr>
        <sz val="11"/>
        <color theme="1"/>
        <rFont val="Calibri"/>
        <family val="2"/>
        <scheme val="minor"/>
      </rPr>
      <t>)</t>
    </r>
  </si>
  <si>
    <r>
      <rPr>
        <vertAlign val="superscript"/>
        <sz val="11"/>
        <color theme="1"/>
        <rFont val="Calibri"/>
        <family val="2"/>
        <scheme val="minor"/>
      </rPr>
      <t>1</t>
    </r>
    <r>
      <rPr>
        <sz val="11"/>
        <color theme="1"/>
        <rFont val="Calibri"/>
        <family val="2"/>
        <scheme val="minor"/>
      </rPr>
      <t xml:space="preserve">F&gt;F correction: </t>
    </r>
  </si>
  <si>
    <r>
      <rPr>
        <vertAlign val="superscript"/>
        <sz val="11"/>
        <color theme="1"/>
        <rFont val="Calibri"/>
        <family val="2"/>
        <scheme val="minor"/>
      </rPr>
      <t>2</t>
    </r>
    <r>
      <rPr>
        <sz val="11"/>
        <color theme="1"/>
        <rFont val="Calibri"/>
        <family val="2"/>
        <scheme val="minor"/>
      </rPr>
      <t xml:space="preserve">F&gt;F correction: </t>
    </r>
  </si>
  <si>
    <r>
      <t>(adjusted for F&gt;F correction</t>
    </r>
    <r>
      <rPr>
        <vertAlign val="superscript"/>
        <sz val="11"/>
        <color theme="1"/>
        <rFont val="Calibri"/>
        <family val="2"/>
        <scheme val="minor"/>
      </rPr>
      <t>2</t>
    </r>
    <r>
      <rPr>
        <sz val="11"/>
        <color theme="1"/>
        <rFont val="Calibri"/>
        <family val="2"/>
        <scheme val="minor"/>
      </rPr>
      <t>)</t>
    </r>
  </si>
  <si>
    <t>Total forest area 2001</t>
  </si>
  <si>
    <t>Total F&gt;F area</t>
  </si>
  <si>
    <t>Total F&gt;F area by F class</t>
  </si>
  <si>
    <t>Proportion of F class</t>
  </si>
  <si>
    <t>Average</t>
  </si>
  <si>
    <t>OPTION 1: Net removal rate based on regional removal and emission factors with local area data from FIA -- requires sufficient FIA plots over the inventory period</t>
  </si>
  <si>
    <t>OPTION 2: Net removal rate based on local FIA data retrievals -- requires remeasurements of sufficient FIA plots over the inventory period</t>
  </si>
  <si>
    <t>Gross = total removal of C from atmosphere, per hectare of tree cover</t>
  </si>
  <si>
    <t>Emissions from fire</t>
  </si>
  <si>
    <t>Emissions from N additions</t>
  </si>
  <si>
    <t>Calculations not available at this time because of lack of data about N additions to managed forests</t>
  </si>
  <si>
    <t>Methane</t>
  </si>
  <si>
    <t>Nitrous oxide</t>
  </si>
  <si>
    <t>area burned</t>
  </si>
  <si>
    <t>fuel available</t>
  </si>
  <si>
    <t>emission factor</t>
  </si>
  <si>
    <t>non-CO2 emissions</t>
  </si>
  <si>
    <t>metric tons/ha</t>
  </si>
  <si>
    <t>metric tons</t>
  </si>
  <si>
    <t>hectares</t>
  </si>
  <si>
    <r>
      <t>combustion factor</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</si>
  <si>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Table 6-13 p. 6-85 in USDA guidelines</t>
    </r>
  </si>
  <si>
    <t>enter data</t>
  </si>
  <si>
    <t>average CF</t>
  </si>
  <si>
    <t>area</t>
  </si>
  <si>
    <t>Total for period</t>
  </si>
  <si>
    <t>Total per year</t>
  </si>
  <si>
    <t>non-CO2 gas</t>
  </si>
  <si>
    <t>equivalence ratio/1000</t>
  </si>
  <si>
    <t>National Forest</t>
  </si>
  <si>
    <t>Other federal</t>
  </si>
  <si>
    <t>State and local</t>
  </si>
  <si>
    <t>Private</t>
  </si>
  <si>
    <t>Forest C (metric tons)</t>
  </si>
  <si>
    <t>Forest area (hectares)'</t>
  </si>
  <si>
    <t>C density (tons/hectare)</t>
  </si>
  <si>
    <t>Tree C (metric tons)</t>
  </si>
  <si>
    <t>TOF area (hectares)</t>
  </si>
  <si>
    <t>Forests</t>
  </si>
  <si>
    <t>Forest area (NLCD hectares)</t>
  </si>
  <si>
    <t>Units are hectares of  "non-forest remaining non-forest" categories.</t>
  </si>
  <si>
    <r>
      <rPr>
        <vertAlign val="superscript"/>
        <sz val="11"/>
        <color theme="1"/>
        <rFont val="Calibri"/>
        <family val="2"/>
        <scheme val="minor"/>
      </rPr>
      <t>1</t>
    </r>
    <r>
      <rPr>
        <sz val="11"/>
        <color theme="1"/>
        <rFont val="Calibri"/>
        <family val="2"/>
        <scheme val="minor"/>
      </rPr>
      <t>Carbon in harvested wood products from trees outside forests included with other harvested wood carbon</t>
    </r>
  </si>
  <si>
    <t>Removals</t>
  </si>
  <si>
    <t>Emissions</t>
  </si>
  <si>
    <t>Note that emissions from forest to nonforest transitions are for the whole period, so not multiplied by the number of years.</t>
  </si>
  <si>
    <r>
      <t>Step 4 (Forest land) – Calculate change in C stocks (C and CO</t>
    </r>
    <r>
      <rPr>
        <i/>
        <vertAlign val="subscript"/>
        <sz val="11"/>
        <color theme="1"/>
        <rFont val="Calibri"/>
        <family val="2"/>
      </rPr>
      <t>2</t>
    </r>
    <r>
      <rPr>
        <i/>
        <sz val="11"/>
        <color theme="1"/>
        <rFont val="Calibri"/>
        <family val="2"/>
      </rPr>
      <t xml:space="preserve"> emissions and/or removals) from forest land and forest-related land cover/use transitions</t>
    </r>
  </si>
  <si>
    <t>Emissions from LCC disturbances</t>
  </si>
  <si>
    <t>Table 4a-2</t>
  </si>
  <si>
    <t xml:space="preserve">Table 4a-1. </t>
  </si>
  <si>
    <t>Table 4a-3</t>
  </si>
  <si>
    <t>Table 4a-4</t>
  </si>
  <si>
    <t>Table 4a-5</t>
  </si>
  <si>
    <t>Table 4a-6</t>
  </si>
  <si>
    <t>Table 4a-7</t>
  </si>
  <si>
    <t>Table 4a-8</t>
  </si>
  <si>
    <t>FL to GL</t>
  </si>
  <si>
    <t>Severity assumptions (percent of maximum severity)</t>
  </si>
  <si>
    <r>
      <rPr>
        <vertAlign val="superscript"/>
        <sz val="11"/>
        <color theme="1"/>
        <rFont val="Calibri"/>
        <family val="2"/>
        <scheme val="minor"/>
      </rPr>
      <t>2</t>
    </r>
    <r>
      <rPr>
        <sz val="11"/>
        <color theme="1"/>
        <rFont val="Calibri"/>
        <family val="2"/>
        <scheme val="minor"/>
      </rPr>
      <t>Regional averages, 75-100% severity estimates adjusted for lower average severity disturbance</t>
    </r>
  </si>
  <si>
    <t>Emissions from forest remaining forest disturbances</t>
  </si>
  <si>
    <t>NOTE: matrix repeated from step 2a for information only.</t>
  </si>
  <si>
    <t>NOTE: matrix repeated from step 2a for information only</t>
  </si>
  <si>
    <t>This workbook follows the guidance and calculations as described in the reference material, which should be reviewed and consulted when using this workbook to compile a greenhouse gas inventory for forest land and trees outside forests.  Each of the seven steps in the documentation has one or more associated tabs in this workbook.  Area data inputs, emission and removal factors, and calculations are presented separately for forest land and trees outside forests in Tabs 2 through 4, which have "a" and "b" versions, respectively.  There is a "correction" tab 4c that adjusts the changes in carbon stocks for loss of tree cover when forest land is incorrectly classified by NLCD data as having converted from forest to grassland land use, since this is often a temporary conversion based on land cover.  Tab 5 includes calculations of non-CO2 greenhouse gas emissions, and estimates of total carbon stocks. Tab 6 estimates carbon that is stored in harvested wood products while those products remain in use or sequestered in landfills.  Tab 7 presents a summary of the results of the inventory.  
There are 10 versions of this workbook, each representing one of the regions shown in the map:
At or near the beginning of each tab is some brief guidance about how and where to enter data specific to the community or county of interest.  Where possible, defaults or generic data are already entered to represent the region of interest, but not necessarily the specific conditions in the geographic area of the inventory.  The defaults may be used in the absense of more specific data, which is often the case especially regarding the emission and removal factors.  If more local data is available, instructions are given about how and where to substitute these data for the default estimates.
Users are strongly cautioned about changing any of the calculations embedded in the workbook, because they are quite complicated and in many places, there are multiple links between cells which are easily broken, which could lead to erroneous calculations.</t>
  </si>
  <si>
    <r>
      <t>USCP – Appendix J: Forest Land and Trees, available at: [</t>
    </r>
    <r>
      <rPr>
        <sz val="14"/>
        <color rgb="FFFF0000"/>
        <rFont val="Calibri Light"/>
        <family val="2"/>
      </rPr>
      <t>insert web site</t>
    </r>
    <r>
      <rPr>
        <sz val="14"/>
        <color theme="1"/>
        <rFont val="Calibri Light"/>
        <family val="2"/>
      </rPr>
      <t xml:space="preserve">]  </t>
    </r>
    <r>
      <rPr>
        <sz val="14"/>
        <color theme="1"/>
        <rFont val="Times New Roman"/>
        <family val="1"/>
      </rPr>
      <t xml:space="preserve"> </t>
    </r>
  </si>
  <si>
    <r>
      <t>USCP -- Guidance document for calculations, available at: [</t>
    </r>
    <r>
      <rPr>
        <sz val="14"/>
        <color rgb="FFFF0000"/>
        <rFont val="Calibri Light"/>
        <family val="2"/>
      </rPr>
      <t>insert web site</t>
    </r>
    <r>
      <rPr>
        <sz val="14"/>
        <color theme="1"/>
        <rFont val="Calibri Light"/>
        <family val="2"/>
      </rPr>
      <t>]</t>
    </r>
  </si>
  <si>
    <t>User input this tab: enter beginning and ending years of the inventory period, rows 22 - 23</t>
  </si>
  <si>
    <t>User input this tab: none required</t>
  </si>
  <si>
    <t>Users are advised to become familiar with the matrices presented here, which are used to frame the essential elements of the GHG inventory.  Read the documentation regarding the difference between land cover and land use.  This workbook is set up to use NLCD data on land cover and land-cover change to estimate the areas by different land classes.  Tab 4c "corrects" the land cover estimates to approximately represent land use for estimating and reporting.</t>
  </si>
  <si>
    <t>"Summarized" stratification matrix based on land-cover change categories and NLCD classifications.</t>
  </si>
  <si>
    <t>Used for calculations requiring less details and for summary reporting.</t>
  </si>
  <si>
    <t>Used for detailed analysis of forest remaining forest and forest transitions.</t>
  </si>
  <si>
    <t xml:space="preserve">User input this tab: </t>
  </si>
  <si>
    <t xml:space="preserve">Information only, not used in calculations: </t>
  </si>
  <si>
    <r>
      <t xml:space="preserve">Units are hectares of tree cover </t>
    </r>
    <r>
      <rPr>
        <i/>
        <sz val="10"/>
        <color theme="1"/>
        <rFont val="Calibri Light"/>
        <family val="2"/>
        <scheme val="major"/>
      </rPr>
      <t>loss</t>
    </r>
    <r>
      <rPr>
        <sz val="10"/>
        <color theme="1"/>
        <rFont val="Calibri Light"/>
        <family val="2"/>
        <scheme val="major"/>
      </rPr>
      <t xml:space="preserve"> for forest and nonforest categories.</t>
    </r>
  </si>
  <si>
    <t>Alternate approach: average annual disturbances embedded within removal factors.</t>
  </si>
  <si>
    <t>Recommended approach: use undisturbed removal factors and calculate disturbance emissions separately.</t>
  </si>
  <si>
    <t>Units are metric tons per hectare per year for removal factors, and metric tons per hectare over the period for forest to nonforest transitions.</t>
  </si>
  <si>
    <t xml:space="preserve">Removal factors for "forest remaining forest" represent undisturbed forest conditions.  </t>
  </si>
  <si>
    <t>Optional removal and emission factors that combine undisturbed and disturbed conditions are shown below.</t>
  </si>
  <si>
    <t>Area by forest type</t>
  </si>
  <si>
    <t>Note: this alternative is not used but could be selected (see table 1 option)</t>
  </si>
  <si>
    <t>OPTIONAL</t>
  </si>
  <si>
    <t>ESSENTIAL INPUTS</t>
  </si>
  <si>
    <t>Forest converted to Grassland</t>
  </si>
  <si>
    <t>Biomass defaults from guidance document</t>
  </si>
  <si>
    <t>Note: be sure to review data in places marked by</t>
  </si>
  <si>
    <t>Units are hectares of tree cover for all categories.</t>
  </si>
  <si>
    <t>Proportion of biomass loss calculated from area tables, average tree cover for each class</t>
  </si>
  <si>
    <t>NONE</t>
  </si>
  <si>
    <r>
      <t xml:space="preserve">Table 4b-1. Activity data #2 - Tree canopy outside forest </t>
    </r>
    <r>
      <rPr>
        <sz val="11"/>
        <color theme="1"/>
        <rFont val="Calibri"/>
        <family val="2"/>
      </rPr>
      <t>(in hectares, average tree canopy during inventory analysis period)</t>
    </r>
  </si>
  <si>
    <r>
      <t xml:space="preserve">Table 4b-2. Activity data #3 - Tree canopy loss outside forests </t>
    </r>
    <r>
      <rPr>
        <sz val="11"/>
        <color theme="1"/>
        <rFont val="Calibri"/>
        <family val="2"/>
      </rPr>
      <t>(in hectares, amount of tree canopy lost during the inventory analysis period)</t>
    </r>
  </si>
  <si>
    <t>Table 4b-3. Changes in carbon stocks of "trees outside forests" for the inventory period</t>
  </si>
  <si>
    <t>Table 4b-4. Changes in carbon stocks of "trees outside forests" for the inventory period</t>
  </si>
  <si>
    <t>Table 4b-5. Changes in carbon stocks of "trees outside forests" for the inventory period</t>
  </si>
  <si>
    <t>Table 4c-2. Correcting for disturbance (and regeneration) that occur in "forest remaining forest" using secondary maps</t>
  </si>
  <si>
    <t>Table 4c-3. Corrected matrix of estimated GHGs based on land use (versus land cover)</t>
  </si>
  <si>
    <t>Table 4c-1. Change in C stocks, uncorrected. Estimates from Table 4a-3.</t>
  </si>
  <si>
    <t>NOTE: grassland numbers are substituted in table 4a-4 "corrected table", but the forest corrections are not added to the "uncorrected" estimates for forests.  All forest disturbances are accounted for using disturbance data from tab 2a table 3, and emission factors from tab 3a table 3.</t>
  </si>
  <si>
    <t>Table 6-1: Enter harvest data and convert to wood type</t>
  </si>
  <si>
    <t>Table 6-2: Estimate biomass and carbon of harvested wood</t>
  </si>
  <si>
    <t>Table 6-3: Density of Softwood and Hardwood Sawlogs/Veneer Logs and Pulpwood by Region and Forest Type Group (from Table 6‑A-4 in USDA Guidelines)</t>
  </si>
  <si>
    <t>Weight of C (entered from table 6-3)</t>
  </si>
  <si>
    <t xml:space="preserve">Table 6-4. </t>
  </si>
  <si>
    <t>Table 6-1. Enter years of inventory period, harvest data, and ratios by wood type.</t>
  </si>
  <si>
    <t>Select representative forest types for hardwood and softwood from table above</t>
  </si>
  <si>
    <t>Table 6-3. Enter density of hardwoods and softwoods selected from table.</t>
  </si>
  <si>
    <r>
      <rPr>
        <vertAlign val="superscript"/>
        <sz val="11"/>
        <rFont val="Calibri"/>
        <family val="2"/>
        <scheme val="minor"/>
      </rPr>
      <t>1</t>
    </r>
    <r>
      <rPr>
        <sz val="11"/>
        <rFont val="Calibri"/>
        <family val="2"/>
        <scheme val="minor"/>
      </rPr>
      <t>Biomass based on tree cover estimates; other C pools based on national averages</t>
    </r>
  </si>
  <si>
    <t>Table 2a-1. "Standard" stratification matrix based on land-use change categories and NLCD classifications.</t>
  </si>
  <si>
    <t xml:space="preserve">Table 2a-1. Area of "forest remaining forest" and "forest transitions", derived from NLCD data corresponding to inventory period, or from similar data representing the area of the GHG inventory.   </t>
  </si>
  <si>
    <t xml:space="preserve">Table 2a-3: Total area disturbed by type of disturbance.  The total area of disturbance is allocated proportionally to the more detailed forest classifications. </t>
  </si>
  <si>
    <t>Table 2a-2. Summarized stratification matrix based on land-use change categories and NLCD classifications.</t>
  </si>
  <si>
    <t>Adjusts harvest by subtracting temporary forest conversion to grassland</t>
  </si>
  <si>
    <t>TEMPORARY</t>
  </si>
  <si>
    <t>Table 2b-1a: enter data on total area of nonforest classes from NLCD or similar source.</t>
  </si>
  <si>
    <t xml:space="preserve">Table 2b-2a: enter data on area of tree cover for forest and nonforest classes from NLCD or similar source. </t>
  </si>
  <si>
    <t xml:space="preserve">Table 2b-3a: enter data on area of tree cover loss for forest and nonforest classes from NLCD or similar source. </t>
  </si>
  <si>
    <t>Table 2b-1a: area of nonforest classes</t>
  </si>
  <si>
    <t>Table 2b-1b: "Simplifed" stratification matrix based on land-use change categories and NLCD classifications.</t>
  </si>
  <si>
    <t>Table 2b-2a: area of tree cover</t>
  </si>
  <si>
    <t>Table 2b-2b: "Simplifed" stratification matrix based on land-use change categories and NLCD classifications.</t>
  </si>
  <si>
    <r>
      <t xml:space="preserve">Table 2b-3a: area of tree cover </t>
    </r>
    <r>
      <rPr>
        <b/>
        <i/>
        <sz val="11"/>
        <color theme="1"/>
        <rFont val="Calibri"/>
        <family val="2"/>
        <scheme val="minor"/>
      </rPr>
      <t>loss</t>
    </r>
  </si>
  <si>
    <t>Table 2b-3b: "Simplifed" stratification matrix based on land-use change categories and NLCD classifications.</t>
  </si>
  <si>
    <t>Table 3a-9: Enter data on area by forest type and age class.</t>
  </si>
  <si>
    <t>Table 3a-11. Enter data on average carbon stock prior to conversion from forest to nonforest, by carbon pool.</t>
  </si>
  <si>
    <t>Table 3a-1. Removal and emission factors for the standard stratification matrix.</t>
  </si>
  <si>
    <r>
      <t xml:space="preserve">Table 3a-2a. Removal factors for </t>
    </r>
    <r>
      <rPr>
        <b/>
        <i/>
        <u/>
        <sz val="11"/>
        <color theme="1"/>
        <rFont val="Calibri"/>
        <family val="2"/>
        <scheme val="minor"/>
      </rPr>
      <t>undisturbed</t>
    </r>
    <r>
      <rPr>
        <b/>
        <sz val="11"/>
        <color theme="1"/>
        <rFont val="Calibri"/>
        <family val="2"/>
        <scheme val="minor"/>
      </rPr>
      <t xml:space="preserve"> "forest remaining forest"</t>
    </r>
  </si>
  <si>
    <r>
      <t xml:space="preserve">Table 3a-2b. Average removal factors for </t>
    </r>
    <r>
      <rPr>
        <b/>
        <i/>
        <u/>
        <sz val="11"/>
        <color theme="1"/>
        <rFont val="Calibri"/>
        <family val="2"/>
        <scheme val="minor"/>
      </rPr>
      <t>undisturbed plus disturbed</t>
    </r>
    <r>
      <rPr>
        <b/>
        <sz val="11"/>
        <color theme="1"/>
        <rFont val="Calibri"/>
        <family val="2"/>
        <scheme val="minor"/>
      </rPr>
      <t xml:space="preserve"> "forest remaining forest"</t>
    </r>
  </si>
  <si>
    <t xml:space="preserve">Table 3a-3. Summary of emissions factors for forest remaining forest disturbances </t>
  </si>
  <si>
    <r>
      <t xml:space="preserve">Table 3a-4a. Emission factors for </t>
    </r>
    <r>
      <rPr>
        <b/>
        <i/>
        <u/>
        <sz val="11"/>
        <color theme="1"/>
        <rFont val="Calibri"/>
        <family val="2"/>
        <scheme val="minor"/>
      </rPr>
      <t>disturbed</t>
    </r>
    <r>
      <rPr>
        <b/>
        <sz val="11"/>
        <color theme="1"/>
        <rFont val="Calibri"/>
        <family val="2"/>
        <scheme val="minor"/>
      </rPr>
      <t xml:space="preserve"> "forest remaining forest"</t>
    </r>
  </si>
  <si>
    <r>
      <t xml:space="preserve">Table 3a-4b. Emission factors for </t>
    </r>
    <r>
      <rPr>
        <b/>
        <i/>
        <u/>
        <sz val="11"/>
        <color theme="1"/>
        <rFont val="Calibri"/>
        <family val="2"/>
        <scheme val="minor"/>
      </rPr>
      <t>disturbed</t>
    </r>
    <r>
      <rPr>
        <b/>
        <sz val="11"/>
        <color theme="1"/>
        <rFont val="Calibri"/>
        <family val="2"/>
        <scheme val="minor"/>
      </rPr>
      <t xml:space="preserve"> "forest remaining forest"</t>
    </r>
  </si>
  <si>
    <r>
      <t xml:space="preserve">Table 3a-4c. Emission factors for </t>
    </r>
    <r>
      <rPr>
        <b/>
        <i/>
        <u/>
        <sz val="11"/>
        <color theme="1"/>
        <rFont val="Calibri"/>
        <family val="2"/>
        <scheme val="minor"/>
      </rPr>
      <t>disturbed</t>
    </r>
    <r>
      <rPr>
        <b/>
        <sz val="11"/>
        <color theme="1"/>
        <rFont val="Calibri"/>
        <family val="2"/>
        <scheme val="minor"/>
      </rPr>
      <t xml:space="preserve"> "forest remaining forest"</t>
    </r>
  </si>
  <si>
    <r>
      <t xml:space="preserve">Table 3a-4d. Emission factors for </t>
    </r>
    <r>
      <rPr>
        <b/>
        <i/>
        <u/>
        <sz val="11"/>
        <color theme="1"/>
        <rFont val="Calibri"/>
        <family val="2"/>
        <scheme val="minor"/>
      </rPr>
      <t>disturbed</t>
    </r>
    <r>
      <rPr>
        <b/>
        <sz val="11"/>
        <color theme="1"/>
        <rFont val="Calibri"/>
        <family val="2"/>
        <scheme val="minor"/>
      </rPr>
      <t xml:space="preserve"> "forest remaining forest"</t>
    </r>
  </si>
  <si>
    <t>Table 3a-5. Estimated removal factors by forest type and age class for undisturbed forest remaining forest.</t>
  </si>
  <si>
    <t>Table 3a-6. Removal factors for undisturbed plus disturbed "forest remaining forest" based on regional factors and local area data.</t>
  </si>
  <si>
    <t>Table 3a-7. Removal factors for undisturbed plus disturbed "forest remaining forest" based on remeasurement of FIA plots within local area.</t>
  </si>
  <si>
    <t>Table 3a-10. Proportion of carbon lost from land-use change, forest to nonforest.</t>
  </si>
  <si>
    <t>Table 3a-11. Average carbon stock prior to conversion from forest to nonforest, by carbon pool, plus proportion of carbon lost from table 10.</t>
  </si>
  <si>
    <t>Table 3a-12. Removal rates for conversion of nonforest to forest.</t>
  </si>
  <si>
    <t>Table 3b-1. Removal factors for trees outside forests (annual sequestration in metric tons per hectare per year)</t>
  </si>
  <si>
    <t>Table 3b-2. Emission factors for loss of tree canopy outside forests (biomass lost during the inventory analysis period, in metric tons per hectare)</t>
  </si>
  <si>
    <t>Table 4c-2. Enter percentages of area that are correctly classified as land-use change, using local data if available.</t>
  </si>
  <si>
    <t>Table 5-2. Populated with default combustion factors.  Replace with local data if available.</t>
  </si>
  <si>
    <t>Table 5-3. Enter data on total forest C and total area if interested in carbon stock and density estimates in the summary.  If not interested, delete the data in tables 3 and 4.</t>
  </si>
  <si>
    <t>Table 5-1. Emissions = area burned x fuel available x combustion factor x emission factor / 1000 x equivalence ratio</t>
  </si>
  <si>
    <t>Table 5-3. Carbon stock and area estimates for forests (from FIA)</t>
  </si>
  <si>
    <t>Table 5-4. Carbon stock and area estimates for trees outside forests (from TOF calcs)</t>
  </si>
  <si>
    <t>Check list - done</t>
  </si>
  <si>
    <t>Table 3a-2a, "Working Forest" option: replace the current removal value(s) with the modified ones which are pre-calculated in table 5.  Also, replace the harvest estimate in table 3a-4d with values in table 3a-8d. This option does not work if table 2b is selected instead of table 2a.</t>
  </si>
  <si>
    <t>Table 3a-1 option to combine removal factors: substitute combined undisturbed plus disturbed removal factors for forest remaining forest by replacing table 2a with table 2b.</t>
  </si>
  <si>
    <t>Table 3a-3: Disturbance severity option: accept defaults or enter local estimates of disturbance severity (lines 58 to 61), noting that emissions factors are estimated for 75-100% severity as a starting point.</t>
  </si>
  <si>
    <t>Table 3a-5: Local removal factors option: now populated with default regional data.  Enter local data if available.</t>
  </si>
  <si>
    <t>Table 3a-6 option to combine removal factors: if table 3a-1 option is selected, enter data on proportion of area disturbed by forest type, and area of forest types.</t>
  </si>
  <si>
    <t>Table 3a-7 option to combine removal factors: if table 3a-1 option is selected and if there is sufficient FIA remeasurement data, enter the results where indicated.</t>
  </si>
  <si>
    <t>Tables 3a-8a through 3a-8d disturbance emissions option: populated with default regional data. Enter local data if available.</t>
  </si>
  <si>
    <t>Table 3a-10 land-use change emissions: review default percentages and adjust if local data is available.</t>
  </si>
  <si>
    <r>
      <rPr>
        <vertAlign val="superscript"/>
        <sz val="10"/>
        <color rgb="FF222222"/>
        <rFont val="Calibri Light"/>
        <family val="2"/>
      </rPr>
      <t>1</t>
    </r>
    <r>
      <rPr>
        <sz val="10"/>
        <color rgb="FF222222"/>
        <rFont val="Calibri Light"/>
        <family val="2"/>
      </rPr>
      <t>Negative number = increase in C stock</t>
    </r>
  </si>
  <si>
    <t>NORTHEAST</t>
  </si>
  <si>
    <t>MONTGOMERY COUNTY</t>
  </si>
  <si>
    <t>White-red-jack pine</t>
  </si>
  <si>
    <t>Loblolly-shortleaf</t>
  </si>
  <si>
    <t>Oak-pine</t>
  </si>
  <si>
    <t>Other SW</t>
  </si>
  <si>
    <t>Oak-hickory</t>
  </si>
  <si>
    <t>Elm-ash-cottonwood</t>
  </si>
  <si>
    <t>Maple-beech-birch</t>
  </si>
  <si>
    <t>Aspen-birch</t>
  </si>
  <si>
    <t>Other HW + nonstocked</t>
  </si>
  <si>
    <t>Elm-ash cottonwood</t>
  </si>
  <si>
    <t>Other hwd + nonstocked</t>
  </si>
  <si>
    <t>Did not separate high productivity sites and hydric sites</t>
  </si>
  <si>
    <t>Proportion mixed</t>
  </si>
  <si>
    <t xml:space="preserve">Grand total classified </t>
  </si>
  <si>
    <t>Note: variability of age classes -- some data from Southeast forest types have shorter age classes</t>
  </si>
  <si>
    <t>(spruce-balsam fir)</t>
  </si>
  <si>
    <t>(data from SE)</t>
  </si>
  <si>
    <t>(same as oak-hickory)</t>
  </si>
  <si>
    <t>NOTE: entered "100" in middle age classes for cells having no area data in Montgomery County FIA</t>
  </si>
  <si>
    <t>(data from SC)</t>
  </si>
  <si>
    <t>Table 3a-8a. Northeast, fire, 75-100% severity, net loss over 20 years</t>
  </si>
  <si>
    <t>Table 3a-8b. Northeast, insect, 75-100% severity, net loss over 20 years</t>
  </si>
  <si>
    <t>Table 3a-8c. Northeast, weather, 75-100% severity, net loss over 20 years</t>
  </si>
  <si>
    <t>Table 3a-8d. Northeast, harvest, 75-100% severity, net loss over 20 years</t>
  </si>
  <si>
    <t>Table 3a-9. Area by forest type and age class (hectares).</t>
  </si>
  <si>
    <t>(same as oak-hick)</t>
  </si>
  <si>
    <t>Need review</t>
  </si>
  <si>
    <t>0-10</t>
  </si>
  <si>
    <t>10-50</t>
  </si>
  <si>
    <t>50+</t>
  </si>
  <si>
    <t>not used for Montgomery County</t>
  </si>
  <si>
    <t>NOTE: C data entered is for 4-county area; area data for Montgomery only</t>
  </si>
  <si>
    <t>Wetland/Oak-gum-cypress</t>
  </si>
  <si>
    <t>Forested wetland: adjust forest type assigned to wetland category if necessary (default is oak-gum-cypress)</t>
  </si>
  <si>
    <t>Table 3b-3. Settlement tree data per unit area of tree cover from EPA GHG inventory table 6.74 (2019), Northeast</t>
  </si>
  <si>
    <t>Connecticut</t>
  </si>
  <si>
    <t>Maryland</t>
  </si>
  <si>
    <t xml:space="preserve"> Massachusetts</t>
  </si>
  <si>
    <t>New Hampshire</t>
  </si>
  <si>
    <t>New York</t>
  </si>
  <si>
    <t>Ohio</t>
  </si>
  <si>
    <t>Maine</t>
  </si>
  <si>
    <t>Pennsylvania</t>
  </si>
  <si>
    <t>Rhode Island</t>
  </si>
  <si>
    <t>Delaware</t>
  </si>
  <si>
    <t>Vermont</t>
  </si>
  <si>
    <t>West Virginia</t>
  </si>
  <si>
    <t>New Jersey</t>
  </si>
  <si>
    <t>Baltimore, MD</t>
  </si>
  <si>
    <t>Boston, MA</t>
  </si>
  <si>
    <t>Camden, NJ</t>
  </si>
  <si>
    <t>Chester, PA</t>
  </si>
  <si>
    <t>Freehold, NJ</t>
  </si>
  <si>
    <t>Hartford, CT</t>
  </si>
  <si>
    <t>Jersey City, NJ</t>
  </si>
  <si>
    <t>Moorestown, NJ</t>
  </si>
  <si>
    <t>Morgantown, WV</t>
  </si>
  <si>
    <t>New York, NY</t>
  </si>
  <si>
    <t>Philadelphia, PA</t>
  </si>
  <si>
    <t>Scranton, PA</t>
  </si>
  <si>
    <t>Syracuse, NY</t>
  </si>
  <si>
    <t>Washington, DC</t>
  </si>
  <si>
    <t>Woodbridge, NJ</t>
  </si>
  <si>
    <t>Copy state here or enter custom:</t>
  </si>
  <si>
    <t>Copy city here or enter custom:</t>
  </si>
  <si>
    <t>Table 3b-4: populated with default data by city. Copy selected city and data from list below into the boxes, or enter custom data.</t>
  </si>
  <si>
    <t>Table 3b-3: populated with default data by state. Copy selected state and data from list below into the boxes, or enter custom data.</t>
  </si>
  <si>
    <t>Table 5-2. Combustion factors for Northeast (from USDA Guidelines table 6-13)</t>
  </si>
  <si>
    <t>Aspen–birch</t>
  </si>
  <si>
    <t xml:space="preserve">Elm–ash–cottonwood </t>
  </si>
  <si>
    <t xml:space="preserve">Maple–beech–birch </t>
  </si>
  <si>
    <t>Oak–hickory</t>
  </si>
  <si>
    <t xml:space="preserve">Oak–pine </t>
  </si>
  <si>
    <t>Spruce–fir</t>
  </si>
  <si>
    <t xml:space="preserve">White–red–jack pine </t>
  </si>
  <si>
    <t>Northeast</t>
  </si>
  <si>
    <t>Maple–beech–birch</t>
  </si>
  <si>
    <t xml:space="preserve">Spruce–fir </t>
  </si>
  <si>
    <t>White–red–jack pine</t>
  </si>
  <si>
    <t>White-red-jack</t>
  </si>
  <si>
    <t>Northeast Softwoods</t>
  </si>
  <si>
    <t>Northeast Hardwoods</t>
  </si>
  <si>
    <t>yes</t>
  </si>
  <si>
    <r>
      <t>Forest type 2 (managed)</t>
    </r>
    <r>
      <rPr>
        <vertAlign val="superscript"/>
        <sz val="11"/>
        <color theme="1"/>
        <rFont val="Calibri"/>
        <family val="2"/>
        <scheme val="minor"/>
      </rPr>
      <t>3</t>
    </r>
  </si>
  <si>
    <r>
      <t>Forest type 1 (managed)</t>
    </r>
    <r>
      <rPr>
        <vertAlign val="superscript"/>
        <sz val="11"/>
        <color theme="1"/>
        <rFont val="Calibri"/>
        <family val="2"/>
        <scheme val="minor"/>
      </rPr>
      <t>3</t>
    </r>
  </si>
  <si>
    <t>Forest type 1</t>
  </si>
  <si>
    <t>Forest type 2</t>
  </si>
  <si>
    <t xml:space="preserve">Table 2a-3. Area of disturbed "forest remaining forest" (excludes land-use change) </t>
  </si>
  <si>
    <t>Programming note: if the list of forest types is changed, must also change the formulas for combining forest types into NLCD classes</t>
  </si>
  <si>
    <t>NOTE: update formulas if changing the list of forest types</t>
  </si>
  <si>
    <t>Table 4b-3 supplement. Emissions from loss of "trees outside forests" for the inventory period</t>
  </si>
  <si>
    <r>
      <t xml:space="preserve">Includes </t>
    </r>
    <r>
      <rPr>
        <b/>
        <i/>
        <u/>
        <sz val="10"/>
        <color theme="1"/>
        <rFont val="Calibri"/>
        <family val="2"/>
        <scheme val="minor"/>
      </rPr>
      <t>only</t>
    </r>
    <r>
      <rPr>
        <i/>
        <sz val="10"/>
        <color theme="1"/>
        <rFont val="Calibri"/>
        <family val="2"/>
        <scheme val="minor"/>
      </rPr>
      <t xml:space="preserve"> emissions from loss of tree canopy during the inventory period</t>
    </r>
  </si>
  <si>
    <t>Table 4b-4 supplement. Emissions from loss of "trees outside forests" for the inventory period</t>
  </si>
  <si>
    <t>Table 4b-5 supplement. Emissions from loss of "trees outside forests" for the inventory period</t>
  </si>
  <si>
    <r>
      <t>Harvested wood products</t>
    </r>
    <r>
      <rPr>
        <vertAlign val="superscript"/>
        <sz val="11"/>
        <color theme="1"/>
        <rFont val="Calibri"/>
        <family val="2"/>
        <scheme val="minor"/>
      </rPr>
      <t>1</t>
    </r>
  </si>
  <si>
    <r>
      <t>Trees outside forests</t>
    </r>
    <r>
      <rPr>
        <vertAlign val="superscript"/>
        <sz val="11"/>
        <color theme="1"/>
        <rFont val="Calibri"/>
        <family val="2"/>
        <scheme val="minor"/>
      </rPr>
      <t>2</t>
    </r>
  </si>
  <si>
    <r>
      <t>Trees outside forests</t>
    </r>
    <r>
      <rPr>
        <vertAlign val="superscript"/>
        <sz val="11"/>
        <color theme="1"/>
        <rFont val="Calibri"/>
        <family val="2"/>
        <scheme val="minor"/>
      </rPr>
      <t>3</t>
    </r>
  </si>
  <si>
    <r>
      <rPr>
        <vertAlign val="superscript"/>
        <sz val="11"/>
        <color theme="1"/>
        <rFont val="Calibri"/>
        <family val="2"/>
        <scheme val="minor"/>
      </rPr>
      <t>2</t>
    </r>
    <r>
      <rPr>
        <sz val="11"/>
        <color theme="1"/>
        <rFont val="Calibri"/>
        <family val="2"/>
        <scheme val="minor"/>
      </rPr>
      <t>Removals from trees outside forest remaining and new trees</t>
    </r>
  </si>
  <si>
    <r>
      <rPr>
        <vertAlign val="superscript"/>
        <sz val="11"/>
        <color theme="1"/>
        <rFont val="Calibri"/>
        <family val="2"/>
        <scheme val="minor"/>
      </rPr>
      <t>3</t>
    </r>
    <r>
      <rPr>
        <sz val="11"/>
        <color theme="1"/>
        <rFont val="Calibri"/>
        <family val="2"/>
        <scheme val="minor"/>
      </rPr>
      <t>Emissions from tree cover lost from trees outside forests</t>
    </r>
  </si>
  <si>
    <t>TOF loss</t>
  </si>
  <si>
    <t>TOF gain</t>
  </si>
  <si>
    <t>Enter data/check sign</t>
  </si>
  <si>
    <t>Table 3b-4. Settlement tree data per unit area of tree cover from EPA GHG inventory table 6.73 (2019), Northeast</t>
  </si>
  <si>
    <t>area of tree cover</t>
  </si>
  <si>
    <r>
      <rPr>
        <b/>
        <i/>
        <u/>
        <sz val="11"/>
        <color theme="1"/>
        <rFont val="Calibri"/>
        <family val="2"/>
        <scheme val="minor"/>
      </rPr>
      <t>Weather</t>
    </r>
    <r>
      <rPr>
        <b/>
        <sz val="11"/>
        <color theme="1"/>
        <rFont val="Calibri"/>
        <family val="2"/>
        <scheme val="minor"/>
      </rPr>
      <t>, 75-100% severity, cumulative loss over 20 years</t>
    </r>
  </si>
  <si>
    <t xml:space="preserve">Table 3a-12: part 1 -- populated with default regional data on removal rates, enter local data if available. </t>
  </si>
  <si>
    <t>Table 1. Area and area change summarized by broad categories of land cover from NLCD (hectares per period)</t>
  </si>
  <si>
    <t>Average land cover</t>
  </si>
  <si>
    <t>AVG</t>
  </si>
  <si>
    <t>Net changes in land use</t>
  </si>
  <si>
    <t>Forest to grass</t>
  </si>
  <si>
    <t>Forest to wetland</t>
  </si>
  <si>
    <t>Forest to settlement</t>
  </si>
  <si>
    <t>Forest to cropland</t>
  </si>
  <si>
    <t>(corrected)</t>
  </si>
  <si>
    <t>Land use and land cover</t>
  </si>
  <si>
    <t>Forest</t>
  </si>
  <si>
    <t xml:space="preserve">All tables: users should carefully review all results, checking for consistency among tables, and comparing with other published estimates (if available). </t>
  </si>
  <si>
    <t>Table 3. Area of nonforest tree cover loss (hectares).</t>
  </si>
  <si>
    <t>Table 2. Area of nonforest tree cover (hectares).</t>
  </si>
  <si>
    <t>Average tree cover</t>
  </si>
  <si>
    <t>Tree cover (%)</t>
  </si>
  <si>
    <t>Table 4. Total carbon stocks and carbon density</t>
  </si>
  <si>
    <r>
      <t>Table 5. Total change in carbon stocks over the inventory period (CO2e)</t>
    </r>
    <r>
      <rPr>
        <vertAlign val="superscript"/>
        <sz val="11"/>
        <color theme="1"/>
        <rFont val="Calibri"/>
        <family val="2"/>
        <scheme val="minor"/>
      </rPr>
      <t>1</t>
    </r>
  </si>
  <si>
    <r>
      <t>Table 6. Average annual change in carbon stocks over the inventory period (CO2e)</t>
    </r>
    <r>
      <rPr>
        <vertAlign val="superscript"/>
        <sz val="11"/>
        <color theme="1"/>
        <rFont val="Calibri"/>
        <family val="2"/>
        <scheme val="minor"/>
      </rPr>
      <t>1</t>
    </r>
  </si>
  <si>
    <r>
      <t>Table 7. Average annual change in carbon stocks over the inventory period (CO2e per hectare)</t>
    </r>
    <r>
      <rPr>
        <vertAlign val="superscript"/>
        <sz val="11"/>
        <color theme="1"/>
        <rFont val="Calibri"/>
        <family val="2"/>
        <scheme val="minor"/>
      </rPr>
      <t>1</t>
    </r>
  </si>
  <si>
    <t>Table 8. Average annual change in carbon stocks over the inventory period by main causes (CO2e per year)</t>
  </si>
  <si>
    <t>Carbon stocks and change in carbon stocks</t>
  </si>
  <si>
    <r>
      <t>million metric tons CO</t>
    </r>
    <r>
      <rPr>
        <vertAlign val="subscript"/>
        <sz val="11"/>
        <color theme="1"/>
        <rFont val="Calibri"/>
        <family val="2"/>
        <scheme val="minor"/>
      </rPr>
      <t>2</t>
    </r>
  </si>
  <si>
    <t>Forest → Forest</t>
  </si>
  <si>
    <t>Non-forest → Forest</t>
  </si>
  <si>
    <t>Forest → Settlement</t>
  </si>
  <si>
    <t>Forest → Grassland</t>
  </si>
  <si>
    <t>Forest → other non-forest lands</t>
  </si>
  <si>
    <t>Trees outside forest</t>
  </si>
  <si>
    <t>Table 9. Summary list of removal and emission factors</t>
  </si>
  <si>
    <t>Harvested wood products</t>
  </si>
  <si>
    <t>Forest remaining forest (harvested)</t>
  </si>
  <si>
    <t>Forest remaining forest (natural disturbance)</t>
  </si>
  <si>
    <t>Data for policy summary table and graphic</t>
  </si>
  <si>
    <t>DRAFT 2019-09-17</t>
  </si>
  <si>
    <t>Net change</t>
  </si>
  <si>
    <t>Data for chart</t>
  </si>
  <si>
    <t>2011-2016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</si>
</sst>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
    <numFmt numFmtId="166" formatCode="#,##0.0"/>
    <numFmt numFmtId="167" formatCode="0.0%"/>
    <numFmt numFmtId="168" formatCode="_(* #,##0_);_(* \(#,##0\);_(* &quot;-&quot;??_);_(@_)"/>
  </numFmts>
  <fonts count="83" x14ac:knownFonts="1">
    <font>
      <sz val="11"/>
      <color theme="1"/>
      <name val="Calibri"/>
      <family val="2"/>
      <scheme val="minor"/>
    </font>
    <font>
      <b/>
      <sz val="11"/>
      <color theme="1"/>
      <name val="Calibri"/>
      <family val="2"/>
      <scheme val="minor"/>
    </font>
    <font>
      <sz val="14"/>
      <color theme="1"/>
      <name val="Calibri"/>
      <family val="2"/>
      <scheme val="minor"/>
    </font>
    <font>
      <sz val="10"/>
      <name val="Calibri Light"/>
      <family val="2"/>
    </font>
    <font>
      <sz val="10"/>
      <color rgb="FF4472C4"/>
      <name val="Calibri Light"/>
      <family val="2"/>
    </font>
    <font>
      <b/>
      <sz val="11"/>
      <color theme="1"/>
      <name val="Calibri"/>
      <family val="2"/>
    </font>
    <font>
      <sz val="11"/>
      <color theme="1"/>
      <name val="Calibri"/>
      <family val="2"/>
    </font>
    <font>
      <b/>
      <vertAlign val="subscript"/>
      <sz val="11"/>
      <color theme="1"/>
      <name val="Calibri"/>
      <family val="2"/>
    </font>
    <font>
      <b/>
      <i/>
      <sz val="11"/>
      <color theme="1"/>
      <name val="Calibri"/>
      <family val="2"/>
    </font>
    <font>
      <b/>
      <i/>
      <vertAlign val="subscript"/>
      <sz val="11"/>
      <color theme="1"/>
      <name val="Calibri"/>
      <family val="2"/>
    </font>
    <font>
      <sz val="11"/>
      <color rgb="FFFF0000"/>
      <name val="Calibri"/>
      <family val="2"/>
      <scheme val="minor"/>
    </font>
    <font>
      <sz val="12"/>
      <color rgb="FF222222"/>
      <name val="Roboto"/>
    </font>
    <font>
      <sz val="8"/>
      <color rgb="FF222222"/>
      <name val="Calibri Light"/>
      <family val="2"/>
    </font>
    <font>
      <sz val="12"/>
      <color rgb="FF000000"/>
      <name val="Times New Roman"/>
      <family val="1"/>
    </font>
    <font>
      <sz val="12"/>
      <color theme="1"/>
      <name val="Calibri"/>
      <family val="2"/>
      <scheme val="minor"/>
    </font>
    <font>
      <sz val="12"/>
      <color rgb="FFFF0000"/>
      <name val="Times New Roman"/>
      <family val="1"/>
    </font>
    <font>
      <sz val="8"/>
      <color theme="1"/>
      <name val="Calibri Light"/>
      <family val="2"/>
      <scheme val="major"/>
    </font>
    <font>
      <b/>
      <sz val="14"/>
      <color theme="1"/>
      <name val="Calibri"/>
      <family val="2"/>
      <scheme val="minor"/>
    </font>
    <font>
      <b/>
      <sz val="11"/>
      <color rgb="FFFF0000"/>
      <name val="Calibri"/>
      <family val="2"/>
      <scheme val="minor"/>
    </font>
    <font>
      <b/>
      <sz val="8"/>
      <color rgb="FF222222"/>
      <name val="Calibri Light"/>
      <family val="2"/>
    </font>
    <font>
      <b/>
      <i/>
      <u/>
      <sz val="11"/>
      <color theme="1"/>
      <name val="Calibri"/>
      <family val="2"/>
      <scheme val="minor"/>
    </font>
    <font>
      <b/>
      <sz val="14"/>
      <color rgb="FF000000"/>
      <name val="Calibri"/>
      <family val="2"/>
      <scheme val="minor"/>
    </font>
    <font>
      <sz val="11"/>
      <color theme="0"/>
      <name val="Calibri"/>
      <family val="2"/>
      <scheme val="minor"/>
    </font>
    <font>
      <sz val="11"/>
      <name val="Calibri Light"/>
      <family val="2"/>
    </font>
    <font>
      <sz val="9"/>
      <name val="Calibri Light"/>
      <family val="2"/>
    </font>
    <font>
      <sz val="11"/>
      <color theme="1"/>
      <name val="Calibri Light"/>
      <family val="2"/>
      <scheme val="major"/>
    </font>
    <font>
      <b/>
      <sz val="11"/>
      <color rgb="FF7030A0"/>
      <name val="Calibri"/>
      <family val="2"/>
      <scheme val="minor"/>
    </font>
    <font>
      <sz val="8"/>
      <color theme="1"/>
      <name val="Calibri"/>
      <family val="2"/>
      <scheme val="minor"/>
    </font>
    <font>
      <sz val="11"/>
      <name val="Calibri"/>
      <family val="2"/>
      <scheme val="minor"/>
    </font>
    <font>
      <sz val="10"/>
      <color rgb="FF222222"/>
      <name val="Calibri Light"/>
      <family val="2"/>
    </font>
    <font>
      <sz val="10"/>
      <color rgb="FF222222"/>
      <name val="Roboto"/>
    </font>
    <font>
      <sz val="10"/>
      <color theme="1"/>
      <name val="Calibri"/>
      <family val="2"/>
      <scheme val="minor"/>
    </font>
    <font>
      <sz val="10"/>
      <color rgb="FF222222"/>
      <name val="Calibri Light"/>
      <family val="2"/>
      <scheme val="major"/>
    </font>
    <font>
      <sz val="10"/>
      <color theme="1"/>
      <name val="Calibri Light"/>
      <family val="2"/>
      <scheme val="major"/>
    </font>
    <font>
      <b/>
      <sz val="8"/>
      <color theme="1"/>
      <name val="Calibri"/>
      <family val="2"/>
      <scheme val="minor"/>
    </font>
    <font>
      <b/>
      <sz val="8"/>
      <color theme="1"/>
      <name val="Calibri Light"/>
      <family val="2"/>
      <scheme val="major"/>
    </font>
    <font>
      <vertAlign val="superscript"/>
      <sz val="11"/>
      <name val="Calibri Light"/>
      <family val="2"/>
    </font>
    <font>
      <sz val="8"/>
      <name val="Calibri Light"/>
      <family val="2"/>
    </font>
    <font>
      <b/>
      <i/>
      <sz val="11"/>
      <color theme="1"/>
      <name val="Calibri"/>
      <family val="2"/>
      <scheme val="minor"/>
    </font>
    <font>
      <b/>
      <vertAlign val="subscript"/>
      <sz val="11"/>
      <color theme="1"/>
      <name val="Calibri"/>
      <family val="2"/>
      <scheme val="minor"/>
    </font>
    <font>
      <b/>
      <sz val="10"/>
      <color rgb="FF222222"/>
      <name val="Calibri Light"/>
      <family val="2"/>
    </font>
    <font>
      <b/>
      <sz val="10"/>
      <color rgb="FFFF0000"/>
      <name val="Calibri Light"/>
      <family val="2"/>
      <scheme val="major"/>
    </font>
    <font>
      <sz val="11"/>
      <color rgb="FFFF3300"/>
      <name val="Calibri"/>
      <family val="2"/>
      <scheme val="minor"/>
    </font>
    <font>
      <b/>
      <sz val="11"/>
      <color rgb="FFFF3300"/>
      <name val="Calibri"/>
      <family val="2"/>
      <scheme val="minor"/>
    </font>
    <font>
      <b/>
      <sz val="12"/>
      <color theme="1"/>
      <name val="Calibri"/>
      <family val="2"/>
      <scheme val="minor"/>
    </font>
    <font>
      <sz val="10"/>
      <name val="Calibri Light"/>
      <family val="2"/>
      <scheme val="major"/>
    </font>
    <font>
      <b/>
      <sz val="11"/>
      <color theme="1"/>
      <name val="Cambria"/>
      <family val="1"/>
    </font>
    <font>
      <b/>
      <sz val="10"/>
      <color rgb="FFFFFFFF"/>
      <name val="Cambria"/>
      <family val="1"/>
    </font>
    <font>
      <b/>
      <vertAlign val="superscript"/>
      <sz val="10"/>
      <color rgb="FFFFFFFF"/>
      <name val="Cambria"/>
      <family val="1"/>
    </font>
    <font>
      <b/>
      <sz val="11"/>
      <color rgb="FF000000"/>
      <name val="Cambria"/>
      <family val="1"/>
    </font>
    <font>
      <sz val="10"/>
      <color theme="1"/>
      <name val="Cambria"/>
      <family val="1"/>
    </font>
    <font>
      <sz val="10"/>
      <color rgb="FF000000"/>
      <name val="Cambria"/>
      <family val="1"/>
    </font>
    <font>
      <sz val="11"/>
      <color theme="1"/>
      <name val="Calibri"/>
      <family val="2"/>
      <scheme val="minor"/>
    </font>
    <font>
      <b/>
      <sz val="11"/>
      <color rgb="FFFA7D00"/>
      <name val="Calibri"/>
      <family val="2"/>
      <scheme val="minor"/>
    </font>
    <font>
      <sz val="10"/>
      <color theme="0"/>
      <name val="Calibri Light"/>
      <family val="2"/>
    </font>
    <font>
      <sz val="9"/>
      <color theme="1"/>
      <name val="Calibri"/>
      <family val="2"/>
      <scheme val="minor"/>
    </font>
    <font>
      <i/>
      <sz val="10"/>
      <color theme="1"/>
      <name val="Calibri Light"/>
      <family val="2"/>
    </font>
    <font>
      <i/>
      <sz val="11"/>
      <color theme="1"/>
      <name val="Calibri"/>
      <family val="2"/>
      <scheme val="minor"/>
    </font>
    <font>
      <i/>
      <sz val="10"/>
      <color theme="1"/>
      <name val="Calibri"/>
      <family val="2"/>
      <scheme val="minor"/>
    </font>
    <font>
      <b/>
      <sz val="10"/>
      <color theme="1"/>
      <name val="Calibri Light"/>
      <family val="2"/>
      <scheme val="major"/>
    </font>
    <font>
      <i/>
      <sz val="11"/>
      <color theme="1"/>
      <name val="Calibri"/>
      <family val="2"/>
    </font>
    <font>
      <sz val="10"/>
      <color theme="1" tint="0.14999847407452621"/>
      <name val="Calibri Light"/>
      <family val="2"/>
      <scheme val="major"/>
    </font>
    <font>
      <i/>
      <sz val="10"/>
      <color theme="1"/>
      <name val="Calibri Light"/>
      <family val="2"/>
      <scheme val="major"/>
    </font>
    <font>
      <i/>
      <vertAlign val="subscript"/>
      <sz val="11"/>
      <color theme="1"/>
      <name val="Calibri"/>
      <family val="2"/>
    </font>
    <font>
      <sz val="9"/>
      <color theme="1"/>
      <name val="Calibri Light"/>
      <family val="2"/>
      <scheme val="major"/>
    </font>
    <font>
      <sz val="11"/>
      <color rgb="FF7030A0"/>
      <name val="Calibri"/>
      <family val="2"/>
      <scheme val="minor"/>
    </font>
    <font>
      <b/>
      <sz val="11"/>
      <color rgb="FFFF0000"/>
      <name val="Calibri Light"/>
      <family val="2"/>
    </font>
    <font>
      <vertAlign val="superscript"/>
      <sz val="11"/>
      <name val="Calibri"/>
      <family val="2"/>
      <scheme val="minor"/>
    </font>
    <font>
      <sz val="8"/>
      <name val="Calibri"/>
      <family val="2"/>
      <scheme val="minor"/>
    </font>
    <font>
      <vertAlign val="superscript"/>
      <sz val="11"/>
      <color theme="1"/>
      <name val="Calibri"/>
      <family val="2"/>
      <scheme val="minor"/>
    </font>
    <font>
      <b/>
      <sz val="11"/>
      <name val="Calibri"/>
      <family val="2"/>
      <scheme val="minor"/>
    </font>
    <font>
      <sz val="14"/>
      <color theme="1"/>
      <name val="Calibri Light"/>
      <family val="2"/>
    </font>
    <font>
      <sz val="14"/>
      <color theme="1"/>
      <name val="Times New Roman"/>
      <family val="1"/>
    </font>
    <font>
      <sz val="14"/>
      <color rgb="FFFF0000"/>
      <name val="Calibri Light"/>
      <family val="2"/>
    </font>
    <font>
      <sz val="11"/>
      <color rgb="FFFF0000"/>
      <name val="Calibri"/>
      <family val="2"/>
    </font>
    <font>
      <b/>
      <i/>
      <sz val="11"/>
      <color rgb="FFFF0000"/>
      <name val="Calibri"/>
      <family val="2"/>
    </font>
    <font>
      <b/>
      <i/>
      <sz val="11"/>
      <color rgb="FF7030A0"/>
      <name val="Calibri"/>
      <family val="2"/>
      <scheme val="minor"/>
    </font>
    <font>
      <vertAlign val="superscript"/>
      <sz val="10"/>
      <color rgb="FF222222"/>
      <name val="Calibri Light"/>
      <family val="2"/>
    </font>
    <font>
      <b/>
      <sz val="14"/>
      <color rgb="FF7030A0"/>
      <name val="Calibri"/>
      <family val="2"/>
      <scheme val="minor"/>
    </font>
    <font>
      <b/>
      <i/>
      <u/>
      <sz val="10"/>
      <color theme="1"/>
      <name val="Calibri"/>
      <family val="2"/>
      <scheme val="minor"/>
    </font>
    <font>
      <sz val="11"/>
      <name val="Calibri Light"/>
      <family val="2"/>
      <scheme val="major"/>
    </font>
    <font>
      <sz val="11"/>
      <color rgb="FF222222"/>
      <name val="Calibri"/>
      <family val="2"/>
      <scheme val="minor"/>
    </font>
    <font>
      <vertAlign val="subscript"/>
      <sz val="11"/>
      <color theme="1"/>
      <name val="Calibri"/>
      <family val="2"/>
      <scheme val="minor"/>
    </font>
  </fonts>
  <fills count="33">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C6E0B4"/>
        <bgColor indexed="64"/>
      </patternFill>
    </fill>
    <fill>
      <patternFill patternType="solid">
        <fgColor rgb="FFF8CBAD"/>
        <bgColor indexed="64"/>
      </patternFill>
    </fill>
    <fill>
      <patternFill patternType="solid">
        <fgColor rgb="FFBDD7EE"/>
        <bgColor indexed="64"/>
      </patternFill>
    </fill>
    <fill>
      <patternFill patternType="solid">
        <fgColor rgb="FFACB9CA"/>
        <bgColor indexed="64"/>
      </patternFill>
    </fill>
    <fill>
      <patternFill patternType="solid">
        <fgColor rgb="FFAEAAAA"/>
        <bgColor indexed="64"/>
      </patternFill>
    </fill>
    <fill>
      <patternFill patternType="solid">
        <fgColor rgb="FFE2EFDA"/>
        <bgColor indexed="64"/>
      </patternFill>
    </fill>
    <fill>
      <patternFill patternType="solid">
        <fgColor rgb="FFFCE4D6"/>
        <bgColor indexed="64"/>
      </patternFill>
    </fill>
    <fill>
      <patternFill patternType="solid">
        <fgColor rgb="FFDDEBF7"/>
        <bgColor indexed="64"/>
      </patternFill>
    </fill>
    <fill>
      <patternFill patternType="solid">
        <fgColor rgb="FFD6DCE4"/>
        <bgColor indexed="64"/>
      </patternFill>
    </fill>
    <fill>
      <patternFill patternType="solid">
        <fgColor rgb="FFE7E6E6"/>
        <bgColor indexed="64"/>
      </patternFill>
    </fill>
    <fill>
      <patternFill patternType="solid">
        <fgColor theme="0"/>
        <bgColor indexed="64"/>
      </patternFill>
    </fill>
    <fill>
      <patternFill patternType="solid">
        <fgColor rgb="FFFF3300"/>
        <bgColor indexed="64"/>
      </patternFill>
    </fill>
    <fill>
      <patternFill patternType="solid">
        <fgColor rgb="FF0070C0"/>
        <bgColor indexed="64"/>
      </patternFill>
    </fill>
    <fill>
      <patternFill patternType="solid">
        <fgColor rgb="FFF2F2F2"/>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10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00B050"/>
      </left>
      <right style="thick">
        <color rgb="FF00B050"/>
      </right>
      <top style="thick">
        <color rgb="FF00B050"/>
      </top>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00B050"/>
      </left>
      <right style="thick">
        <color rgb="FF00B050"/>
      </right>
      <top style="thick">
        <color rgb="FF00B050"/>
      </top>
      <bottom style="thin">
        <color indexed="64"/>
      </bottom>
      <diagonal/>
    </border>
    <border>
      <left style="thick">
        <color rgb="FF00B050"/>
      </left>
      <right style="thick">
        <color rgb="FF00B050"/>
      </right>
      <top style="thin">
        <color indexed="64"/>
      </top>
      <bottom style="thin">
        <color indexed="64"/>
      </bottom>
      <diagonal/>
    </border>
    <border>
      <left style="thick">
        <color rgb="FF00B050"/>
      </left>
      <right style="thick">
        <color rgb="FF00B050"/>
      </right>
      <top style="thin">
        <color indexed="64"/>
      </top>
      <bottom style="thick">
        <color rgb="FF00B050"/>
      </bottom>
      <diagonal/>
    </border>
    <border>
      <left style="thin">
        <color indexed="64"/>
      </left>
      <right/>
      <top/>
      <bottom/>
      <diagonal/>
    </border>
    <border>
      <left style="thin">
        <color indexed="64"/>
      </left>
      <right style="thin">
        <color indexed="64"/>
      </right>
      <top style="thin">
        <color indexed="64"/>
      </top>
      <bottom style="thick">
        <color rgb="FF00B050"/>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ck">
        <color rgb="FFFF0000"/>
      </left>
      <right style="medium">
        <color indexed="64"/>
      </right>
      <top style="thick">
        <color rgb="FFFF0000"/>
      </top>
      <bottom style="medium">
        <color indexed="64"/>
      </bottom>
      <diagonal/>
    </border>
    <border>
      <left style="thick">
        <color rgb="FFFF0000"/>
      </left>
      <right style="medium">
        <color indexed="64"/>
      </right>
      <top/>
      <bottom style="medium">
        <color indexed="64"/>
      </bottom>
      <diagonal/>
    </border>
    <border>
      <left/>
      <right style="thick">
        <color rgb="FFFF0000"/>
      </right>
      <top/>
      <bottom style="medium">
        <color indexed="64"/>
      </bottom>
      <diagonal/>
    </border>
    <border>
      <left style="thick">
        <color rgb="FFFF0000"/>
      </left>
      <right style="medium">
        <color indexed="64"/>
      </right>
      <top/>
      <bottom style="thick">
        <color rgb="FFFF0000"/>
      </bottom>
      <diagonal/>
    </border>
    <border>
      <left/>
      <right style="medium">
        <color indexed="64"/>
      </right>
      <top/>
      <bottom style="thick">
        <color rgb="FFFF0000"/>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thick">
        <color auto="1"/>
      </left>
      <right/>
      <top style="thick">
        <color auto="1"/>
      </top>
      <bottom style="thick">
        <color auto="1"/>
      </bottom>
      <diagonal/>
    </border>
    <border>
      <left style="medium">
        <color indexed="64"/>
      </left>
      <right/>
      <top style="medium">
        <color indexed="64"/>
      </top>
      <bottom style="medium">
        <color indexed="64"/>
      </bottom>
      <diagonal/>
    </border>
    <border>
      <left/>
      <right/>
      <top/>
      <bottom style="medium">
        <color auto="1"/>
      </bottom>
      <diagonal/>
    </border>
    <border>
      <left/>
      <right style="thin">
        <color indexed="64"/>
      </right>
      <top style="thin">
        <color indexed="64"/>
      </top>
      <bottom/>
      <diagonal/>
    </border>
    <border>
      <left style="thick">
        <color auto="1"/>
      </left>
      <right style="thick">
        <color auto="1"/>
      </right>
      <top style="thick">
        <color auto="1"/>
      </top>
      <bottom style="thick">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bottom style="hair">
        <color indexed="64"/>
      </bottom>
      <diagonal/>
    </border>
    <border>
      <left/>
      <right/>
      <top style="thin">
        <color indexed="64"/>
      </top>
      <bottom style="thin">
        <color indexed="64"/>
      </bottom>
      <diagonal/>
    </border>
    <border>
      <left style="thick">
        <color rgb="FF00B050"/>
      </left>
      <right style="thin">
        <color indexed="64"/>
      </right>
      <top style="thick">
        <color rgb="FF00B050"/>
      </top>
      <bottom style="thin">
        <color indexed="64"/>
      </bottom>
      <diagonal/>
    </border>
    <border>
      <left style="thin">
        <color indexed="64"/>
      </left>
      <right style="thin">
        <color indexed="64"/>
      </right>
      <top style="thick">
        <color rgb="FF00B050"/>
      </top>
      <bottom style="thin">
        <color indexed="64"/>
      </bottom>
      <diagonal/>
    </border>
    <border>
      <left style="thick">
        <color rgb="FF00B05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rgb="FF00B050"/>
      </left>
      <right style="thick">
        <color rgb="FF00B050"/>
      </right>
      <top style="thick">
        <color rgb="FF00B050"/>
      </top>
      <bottom style="thick">
        <color rgb="FF00B050"/>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rgb="FFFF0000"/>
      </left>
      <right/>
      <top/>
      <bottom style="thin">
        <color indexed="64"/>
      </bottom>
      <diagonal/>
    </border>
    <border>
      <left style="thin">
        <color indexed="64"/>
      </left>
      <right/>
      <top style="thick">
        <color rgb="FF00B050"/>
      </top>
      <bottom style="thin">
        <color indexed="64"/>
      </bottom>
      <diagonal/>
    </border>
    <border>
      <left/>
      <right style="thin">
        <color indexed="64"/>
      </right>
      <top style="thick">
        <color rgb="FF00B050"/>
      </top>
      <bottom style="thin">
        <color indexed="64"/>
      </bottom>
      <diagonal/>
    </border>
    <border>
      <left/>
      <right style="thick">
        <color rgb="FF00B050"/>
      </right>
      <top style="thick">
        <color rgb="FF00B050"/>
      </top>
      <bottom style="thin">
        <color indexed="64"/>
      </bottom>
      <diagonal/>
    </border>
    <border>
      <left/>
      <right style="thick">
        <color rgb="FF00B050"/>
      </right>
      <top style="thin">
        <color indexed="64"/>
      </top>
      <bottom style="thin">
        <color indexed="64"/>
      </bottom>
      <diagonal/>
    </border>
    <border>
      <left/>
      <right style="thick">
        <color rgb="FF00B050"/>
      </right>
      <top style="thin">
        <color indexed="64"/>
      </top>
      <bottom style="thick">
        <color rgb="FF00B050"/>
      </bottom>
      <diagonal/>
    </border>
    <border>
      <left style="thick">
        <color rgb="FF00B050"/>
      </left>
      <right style="thin">
        <color indexed="64"/>
      </right>
      <top style="thin">
        <color indexed="64"/>
      </top>
      <bottom/>
      <diagonal/>
    </border>
    <border>
      <left style="medium">
        <color indexed="64"/>
      </left>
      <right style="medium">
        <color indexed="64"/>
      </right>
      <top style="thick">
        <color rgb="FFFF0000"/>
      </top>
      <bottom style="medium">
        <color indexed="64"/>
      </bottom>
      <diagonal/>
    </border>
    <border>
      <left style="medium">
        <color indexed="64"/>
      </left>
      <right style="thick">
        <color rgb="FFFF0000"/>
      </right>
      <top style="thick">
        <color rgb="FFFF0000"/>
      </top>
      <bottom style="medium">
        <color indexed="64"/>
      </bottom>
      <diagonal/>
    </border>
    <border>
      <left style="medium">
        <color indexed="64"/>
      </left>
      <right/>
      <top/>
      <bottom/>
      <diagonal/>
    </border>
    <border>
      <left style="thin">
        <color rgb="FFFF0000"/>
      </left>
      <right style="thin">
        <color rgb="FFFF0000"/>
      </right>
      <top style="thin">
        <color rgb="FFFF0000"/>
      </top>
      <bottom style="thin">
        <color rgb="FFFF0000"/>
      </bottom>
      <diagonal/>
    </border>
    <border>
      <left style="thick">
        <color rgb="FFFF0000"/>
      </left>
      <right style="thick">
        <color rgb="FFFF0000"/>
      </right>
      <top style="thick">
        <color rgb="FFFF0000"/>
      </top>
      <bottom style="thick">
        <color rgb="FFFF0000"/>
      </bottom>
      <diagonal/>
    </border>
    <border>
      <left/>
      <right/>
      <top style="thick">
        <color rgb="FF00B050"/>
      </top>
      <bottom style="thick">
        <color rgb="FF00B050"/>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3">
    <xf numFmtId="0" fontId="0" fillId="0" borderId="0"/>
    <xf numFmtId="43" fontId="52" fillId="0" borderId="0" applyFont="0" applyFill="0" applyBorder="0" applyAlignment="0" applyProtection="0"/>
    <xf numFmtId="9" fontId="52" fillId="0" borderId="0" applyFont="0" applyFill="0" applyBorder="0" applyAlignment="0" applyProtection="0"/>
  </cellStyleXfs>
  <cellXfs count="648">
    <xf numFmtId="0" fontId="0" fillId="0" borderId="0" xfId="0"/>
    <xf numFmtId="0" fontId="2" fillId="0" borderId="0" xfId="0" applyFont="1"/>
    <xf numFmtId="0" fontId="1" fillId="0" borderId="0" xfId="0" applyFont="1"/>
    <xf numFmtId="0" fontId="0" fillId="0" borderId="5" xfId="0" applyBorder="1"/>
    <xf numFmtId="0" fontId="0" fillId="0" borderId="7" xfId="0" applyBorder="1"/>
    <xf numFmtId="0" fontId="0" fillId="0" borderId="0" xfId="0" applyAlignment="1">
      <alignment horizontal="right"/>
    </xf>
    <xf numFmtId="0" fontId="5" fillId="0" borderId="0" xfId="0" applyFont="1"/>
    <xf numFmtId="0" fontId="0" fillId="0" borderId="0" xfId="0" applyFont="1"/>
    <xf numFmtId="0" fontId="5" fillId="0" borderId="0" xfId="0" applyFont="1" applyAlignment="1">
      <alignment vertical="center"/>
    </xf>
    <xf numFmtId="0" fontId="0" fillId="0" borderId="0" xfId="0" applyAlignment="1">
      <alignment horizontal="center"/>
    </xf>
    <xf numFmtId="0" fontId="0" fillId="0" borderId="14" xfId="0" applyBorder="1"/>
    <xf numFmtId="0" fontId="0" fillId="0" borderId="0" xfId="0" applyBorder="1"/>
    <xf numFmtId="0" fontId="0" fillId="0" borderId="0" xfId="0" applyAlignment="1">
      <alignment wrapText="1"/>
    </xf>
    <xf numFmtId="0" fontId="10" fillId="0" borderId="0" xfId="0" applyFont="1"/>
    <xf numFmtId="0" fontId="2" fillId="0" borderId="0" xfId="0" applyFont="1" applyBorder="1"/>
    <xf numFmtId="0" fontId="12" fillId="3" borderId="0" xfId="0" applyFont="1" applyFill="1" applyAlignment="1">
      <alignment horizontal="right" vertical="center" wrapText="1"/>
    </xf>
    <xf numFmtId="0" fontId="12" fillId="4" borderId="0" xfId="0" applyFont="1" applyFill="1" applyAlignment="1">
      <alignment vertical="center" wrapText="1"/>
    </xf>
    <xf numFmtId="0" fontId="12" fillId="5" borderId="0" xfId="0" applyFont="1" applyFill="1" applyAlignment="1">
      <alignment vertical="center" wrapText="1"/>
    </xf>
    <xf numFmtId="0" fontId="12" fillId="6" borderId="0" xfId="0" applyFont="1" applyFill="1" applyAlignment="1">
      <alignment vertical="center" wrapText="1"/>
    </xf>
    <xf numFmtId="0" fontId="12" fillId="7" borderId="0" xfId="0" applyFont="1" applyFill="1" applyAlignment="1">
      <alignment vertical="center" wrapText="1"/>
    </xf>
    <xf numFmtId="0" fontId="12" fillId="8" borderId="0" xfId="0" applyFont="1" applyFill="1" applyAlignment="1">
      <alignment vertical="center" wrapText="1"/>
    </xf>
    <xf numFmtId="0" fontId="11" fillId="3" borderId="0" xfId="0" applyFont="1" applyFill="1" applyAlignment="1">
      <alignment wrapText="1"/>
    </xf>
    <xf numFmtId="0" fontId="12" fillId="3" borderId="0" xfId="0" applyFont="1" applyFill="1" applyAlignment="1">
      <alignment horizontal="left" vertical="center" wrapText="1"/>
    </xf>
    <xf numFmtId="0" fontId="12" fillId="9" borderId="0"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12" fillId="12" borderId="0"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12" fillId="9" borderId="0" xfId="0" applyFont="1" applyFill="1" applyBorder="1" applyAlignment="1">
      <alignment vertical="center" wrapText="1"/>
    </xf>
    <xf numFmtId="4" fontId="12" fillId="3" borderId="27" xfId="0" applyNumberFormat="1" applyFont="1" applyFill="1" applyBorder="1" applyAlignment="1">
      <alignment horizontal="center" vertical="center" wrapText="1"/>
    </xf>
    <xf numFmtId="0" fontId="11" fillId="3" borderId="27" xfId="0" applyFont="1" applyFill="1" applyBorder="1" applyAlignment="1">
      <alignment wrapText="1"/>
    </xf>
    <xf numFmtId="0" fontId="12" fillId="3" borderId="27" xfId="0" applyFont="1" applyFill="1" applyBorder="1" applyAlignment="1">
      <alignment horizontal="center" vertical="center" wrapText="1"/>
    </xf>
    <xf numFmtId="0" fontId="12" fillId="10" borderId="0" xfId="0" applyFont="1" applyFill="1" applyBorder="1" applyAlignment="1">
      <alignment vertical="center" wrapText="1"/>
    </xf>
    <xf numFmtId="0" fontId="12" fillId="11" borderId="0" xfId="0" applyFont="1" applyFill="1" applyBorder="1" applyAlignment="1">
      <alignment vertical="center" wrapText="1"/>
    </xf>
    <xf numFmtId="0" fontId="12" fillId="12" borderId="0" xfId="0" applyFont="1" applyFill="1" applyBorder="1" applyAlignment="1">
      <alignment vertical="center" wrapText="1"/>
    </xf>
    <xf numFmtId="0" fontId="12" fillId="13" borderId="0" xfId="0" applyFont="1" applyFill="1" applyBorder="1" applyAlignment="1">
      <alignment vertical="center" wrapText="1"/>
    </xf>
    <xf numFmtId="2" fontId="0" fillId="0" borderId="0" xfId="0" applyNumberFormat="1"/>
    <xf numFmtId="0" fontId="10" fillId="0" borderId="0" xfId="0" applyFont="1" applyAlignment="1">
      <alignment horizontal="center"/>
    </xf>
    <xf numFmtId="0" fontId="0" fillId="0" borderId="0" xfId="0" applyAlignment="1">
      <alignment horizontal="center" wrapText="1"/>
    </xf>
    <xf numFmtId="3" fontId="0" fillId="0" borderId="0" xfId="0" applyNumberFormat="1"/>
    <xf numFmtId="0" fontId="13" fillId="0" borderId="0" xfId="0" applyFont="1" applyFill="1" applyBorder="1" applyAlignment="1">
      <alignment horizontal="left" vertical="center" wrapText="1"/>
    </xf>
    <xf numFmtId="3" fontId="0" fillId="0" borderId="0" xfId="0" applyNumberFormat="1" applyBorder="1"/>
    <xf numFmtId="3" fontId="0" fillId="0" borderId="11" xfId="0" applyNumberFormat="1" applyBorder="1"/>
    <xf numFmtId="3" fontId="0" fillId="0" borderId="12" xfId="0" applyNumberFormat="1" applyBorder="1"/>
    <xf numFmtId="3" fontId="0" fillId="0" borderId="13" xfId="0" applyNumberFormat="1" applyBorder="1"/>
    <xf numFmtId="3" fontId="0" fillId="0" borderId="14" xfId="0" applyNumberFormat="1" applyBorder="1"/>
    <xf numFmtId="3" fontId="0" fillId="0" borderId="15" xfId="0" applyNumberFormat="1" applyBorder="1"/>
    <xf numFmtId="3" fontId="0" fillId="0" borderId="16" xfId="0" applyNumberFormat="1" applyBorder="1"/>
    <xf numFmtId="3" fontId="0" fillId="0" borderId="17" xfId="0" applyNumberFormat="1" applyBorder="1"/>
    <xf numFmtId="3" fontId="0" fillId="0" borderId="18" xfId="0" applyNumberFormat="1" applyBorder="1"/>
    <xf numFmtId="0" fontId="15" fillId="0" borderId="0" xfId="0" applyFont="1" applyFill="1" applyBorder="1" applyAlignment="1">
      <alignment horizontal="left" vertical="center"/>
    </xf>
    <xf numFmtId="164" fontId="0" fillId="0" borderId="0" xfId="0" applyNumberFormat="1"/>
    <xf numFmtId="2" fontId="0" fillId="0" borderId="5" xfId="0" applyNumberFormat="1" applyBorder="1"/>
    <xf numFmtId="2" fontId="0" fillId="0" borderId="6" xfId="0" applyNumberFormat="1" applyBorder="1"/>
    <xf numFmtId="2" fontId="0" fillId="0" borderId="7" xfId="0" applyNumberFormat="1" applyBorder="1"/>
    <xf numFmtId="0" fontId="0" fillId="0" borderId="27" xfId="0" applyBorder="1"/>
    <xf numFmtId="0" fontId="0" fillId="0" borderId="0" xfId="0" applyFill="1"/>
    <xf numFmtId="0" fontId="0" fillId="0" borderId="0" xfId="0" applyFill="1" applyAlignment="1">
      <alignment horizontal="right"/>
    </xf>
    <xf numFmtId="2" fontId="0" fillId="0" borderId="0" xfId="0" applyNumberFormat="1" applyFill="1" applyBorder="1"/>
    <xf numFmtId="2" fontId="0" fillId="0" borderId="29" xfId="0" applyNumberFormat="1" applyBorder="1"/>
    <xf numFmtId="2" fontId="0" fillId="0" borderId="30" xfId="0" applyNumberFormat="1" applyBorder="1"/>
    <xf numFmtId="2" fontId="0" fillId="0" borderId="31" xfId="0" applyNumberFormat="1" applyBorder="1"/>
    <xf numFmtId="2" fontId="0" fillId="2" borderId="27" xfId="0" applyNumberFormat="1" applyFill="1" applyBorder="1"/>
    <xf numFmtId="164" fontId="0" fillId="0" borderId="14" xfId="0" applyNumberFormat="1" applyBorder="1"/>
    <xf numFmtId="0" fontId="17" fillId="0" borderId="0" xfId="0" applyFont="1"/>
    <xf numFmtId="0" fontId="18" fillId="0" borderId="0" xfId="0" applyFont="1" applyAlignment="1">
      <alignment horizontal="center"/>
    </xf>
    <xf numFmtId="1" fontId="0" fillId="0" borderId="5" xfId="0" applyNumberFormat="1" applyBorder="1"/>
    <xf numFmtId="1" fontId="0" fillId="0" borderId="6" xfId="0" applyNumberFormat="1" applyBorder="1"/>
    <xf numFmtId="1" fontId="0" fillId="0" borderId="7" xfId="0" applyNumberFormat="1" applyBorder="1"/>
    <xf numFmtId="1" fontId="0" fillId="0" borderId="29" xfId="0" applyNumberFormat="1" applyBorder="1"/>
    <xf numFmtId="1" fontId="0" fillId="0" borderId="30" xfId="0" applyNumberFormat="1" applyBorder="1"/>
    <xf numFmtId="1" fontId="0" fillId="0" borderId="31" xfId="0" applyNumberFormat="1" applyBorder="1"/>
    <xf numFmtId="2" fontId="0" fillId="0" borderId="34" xfId="0" applyNumberFormat="1" applyFill="1" applyBorder="1"/>
    <xf numFmtId="2" fontId="0" fillId="0" borderId="35" xfId="0" applyNumberFormat="1" applyFill="1" applyBorder="1"/>
    <xf numFmtId="2" fontId="0" fillId="0" borderId="36" xfId="0" applyNumberFormat="1" applyFill="1" applyBorder="1"/>
    <xf numFmtId="3" fontId="0" fillId="0" borderId="0" xfId="0" applyNumberFormat="1" applyFill="1" applyBorder="1"/>
    <xf numFmtId="0" fontId="21" fillId="0" borderId="0" xfId="0" applyFont="1" applyFill="1" applyBorder="1" applyAlignment="1">
      <alignment horizontal="left" vertical="center"/>
    </xf>
    <xf numFmtId="0" fontId="0" fillId="0" borderId="0" xfId="0" applyAlignment="1">
      <alignment horizontal="center"/>
    </xf>
    <xf numFmtId="0" fontId="10" fillId="0" borderId="0" xfId="0" applyFont="1" applyAlignment="1">
      <alignment horizontal="center"/>
    </xf>
    <xf numFmtId="0" fontId="0" fillId="0" borderId="0" xfId="0" applyAlignment="1">
      <alignment horizontal="center" wrapText="1"/>
    </xf>
    <xf numFmtId="0" fontId="25" fillId="0" borderId="0" xfId="0" applyFont="1"/>
    <xf numFmtId="165" fontId="0" fillId="0" borderId="0" xfId="0" applyNumberFormat="1"/>
    <xf numFmtId="0" fontId="26" fillId="0" borderId="0" xfId="0" applyFont="1"/>
    <xf numFmtId="0" fontId="0" fillId="0" borderId="0" xfId="0" applyAlignment="1">
      <alignment horizontal="right" wrapText="1"/>
    </xf>
    <xf numFmtId="2" fontId="26" fillId="0" borderId="0" xfId="0" applyNumberFormat="1" applyFont="1" applyFill="1" applyBorder="1"/>
    <xf numFmtId="165" fontId="0" fillId="0" borderId="5" xfId="0" applyNumberFormat="1" applyBorder="1"/>
    <xf numFmtId="165" fontId="0" fillId="0" borderId="6" xfId="0" applyNumberFormat="1" applyBorder="1"/>
    <xf numFmtId="165" fontId="0" fillId="0" borderId="7" xfId="0" applyNumberFormat="1" applyBorder="1"/>
    <xf numFmtId="0" fontId="24" fillId="0" borderId="0" xfId="0" applyFont="1" applyBorder="1" applyAlignment="1">
      <alignment vertical="center" wrapText="1"/>
    </xf>
    <xf numFmtId="0" fontId="23" fillId="0" borderId="0" xfId="0" applyFont="1" applyBorder="1" applyAlignment="1">
      <alignment vertical="center" wrapText="1"/>
    </xf>
    <xf numFmtId="9" fontId="23" fillId="0" borderId="0" xfId="0" applyNumberFormat="1" applyFont="1" applyBorder="1" applyAlignment="1">
      <alignment vertical="center" wrapText="1"/>
    </xf>
    <xf numFmtId="165" fontId="0" fillId="0" borderId="0" xfId="0" applyNumberFormat="1" applyBorder="1"/>
    <xf numFmtId="165" fontId="0" fillId="0" borderId="19" xfId="0" applyNumberFormat="1" applyBorder="1"/>
    <xf numFmtId="165" fontId="0" fillId="0" borderId="20" xfId="0" applyNumberFormat="1" applyBorder="1"/>
    <xf numFmtId="165" fontId="0" fillId="0" borderId="21" xfId="0" applyNumberFormat="1" applyBorder="1"/>
    <xf numFmtId="165" fontId="0" fillId="0" borderId="22" xfId="0" applyNumberFormat="1" applyBorder="1"/>
    <xf numFmtId="165" fontId="0" fillId="0" borderId="23" xfId="0" applyNumberFormat="1" applyBorder="1"/>
    <xf numFmtId="165" fontId="0" fillId="0" borderId="24" xfId="0" applyNumberFormat="1" applyBorder="1"/>
    <xf numFmtId="165" fontId="0" fillId="0" borderId="25" xfId="0" applyNumberFormat="1" applyBorder="1"/>
    <xf numFmtId="165" fontId="0" fillId="0" borderId="26" xfId="0" applyNumberFormat="1" applyBorder="1"/>
    <xf numFmtId="0" fontId="27" fillId="0" borderId="0" xfId="0" applyFont="1" applyBorder="1" applyAlignment="1">
      <alignment horizontal="center"/>
    </xf>
    <xf numFmtId="0" fontId="19" fillId="0" borderId="38" xfId="0" applyFont="1" applyFill="1" applyBorder="1" applyAlignment="1">
      <alignment horizontal="center" vertical="center" wrapText="1"/>
    </xf>
    <xf numFmtId="0" fontId="19" fillId="0" borderId="0" xfId="0" applyFont="1" applyFill="1" applyBorder="1" applyAlignment="1">
      <alignment vertical="center" wrapText="1"/>
    </xf>
    <xf numFmtId="0" fontId="0" fillId="0" borderId="0" xfId="0" applyFill="1" applyBorder="1" applyAlignment="1">
      <alignment horizontal="right"/>
    </xf>
    <xf numFmtId="2" fontId="0" fillId="0" borderId="39" xfId="0" applyNumberFormat="1" applyFill="1" applyBorder="1"/>
    <xf numFmtId="0" fontId="0" fillId="0" borderId="40" xfId="0" applyFill="1" applyBorder="1" applyAlignment="1">
      <alignment horizontal="right"/>
    </xf>
    <xf numFmtId="1" fontId="0" fillId="0" borderId="0" xfId="0" applyNumberFormat="1" applyFill="1" applyBorder="1"/>
    <xf numFmtId="1" fontId="0" fillId="2" borderId="27" xfId="0" applyNumberFormat="1" applyFill="1" applyBorder="1"/>
    <xf numFmtId="0" fontId="17" fillId="0" borderId="0" xfId="0" applyFont="1" applyAlignment="1">
      <alignment horizontal="left"/>
    </xf>
    <xf numFmtId="0" fontId="28" fillId="0" borderId="0" xfId="0" applyFont="1"/>
    <xf numFmtId="2" fontId="0" fillId="0" borderId="0" xfId="0" applyNumberFormat="1" applyBorder="1"/>
    <xf numFmtId="3" fontId="29" fillId="3" borderId="27" xfId="0" applyNumberFormat="1" applyFont="1" applyFill="1" applyBorder="1" applyAlignment="1">
      <alignment horizontal="center" vertical="center" wrapText="1"/>
    </xf>
    <xf numFmtId="3" fontId="0" fillId="0" borderId="27" xfId="0" applyNumberFormat="1" applyBorder="1"/>
    <xf numFmtId="3" fontId="32" fillId="3" borderId="27" xfId="0" applyNumberFormat="1" applyFont="1" applyFill="1" applyBorder="1" applyAlignment="1">
      <alignment horizontal="center" vertical="center" wrapText="1"/>
    </xf>
    <xf numFmtId="3" fontId="32" fillId="3" borderId="33" xfId="0" applyNumberFormat="1" applyFont="1" applyFill="1" applyBorder="1" applyAlignment="1">
      <alignment horizontal="center" vertical="center" wrapText="1"/>
    </xf>
    <xf numFmtId="3" fontId="25" fillId="0" borderId="27" xfId="0" applyNumberFormat="1" applyFont="1" applyBorder="1"/>
    <xf numFmtId="3" fontId="33" fillId="0" borderId="27" xfId="0" applyNumberFormat="1" applyFont="1" applyBorder="1"/>
    <xf numFmtId="0" fontId="25" fillId="0" borderId="0" xfId="0" applyFont="1" applyAlignment="1">
      <alignment horizontal="right"/>
    </xf>
    <xf numFmtId="0" fontId="33" fillId="0" borderId="0" xfId="0" applyFont="1" applyAlignment="1">
      <alignment horizontal="center"/>
    </xf>
    <xf numFmtId="0" fontId="33" fillId="0" borderId="0" xfId="0" applyFont="1" applyAlignment="1">
      <alignment horizontal="center" vertical="center"/>
    </xf>
    <xf numFmtId="0" fontId="34" fillId="0" borderId="27" xfId="0" applyFont="1" applyBorder="1" applyAlignment="1">
      <alignment horizontal="center"/>
    </xf>
    <xf numFmtId="0" fontId="0" fillId="0" borderId="27" xfId="0" applyBorder="1" applyAlignment="1">
      <alignment horizontal="right"/>
    </xf>
    <xf numFmtId="3" fontId="33" fillId="0" borderId="27" xfId="0" applyNumberFormat="1" applyFont="1" applyBorder="1" applyAlignment="1">
      <alignment horizontal="center"/>
    </xf>
    <xf numFmtId="0" fontId="35" fillId="0" borderId="27" xfId="0" applyFont="1" applyBorder="1" applyAlignment="1">
      <alignment horizontal="right"/>
    </xf>
    <xf numFmtId="0" fontId="29" fillId="14" borderId="27" xfId="0" applyFont="1" applyFill="1" applyBorder="1" applyAlignment="1">
      <alignment vertical="center" wrapText="1"/>
    </xf>
    <xf numFmtId="3" fontId="32" fillId="3" borderId="27" xfId="0" applyNumberFormat="1" applyFont="1" applyFill="1" applyBorder="1" applyAlignment="1">
      <alignment horizontal="center" wrapText="1"/>
    </xf>
    <xf numFmtId="3" fontId="32" fillId="3" borderId="33" xfId="0" applyNumberFormat="1" applyFont="1" applyFill="1" applyBorder="1" applyAlignment="1">
      <alignment horizontal="center" wrapText="1"/>
    </xf>
    <xf numFmtId="3" fontId="33" fillId="0" borderId="27" xfId="0" applyNumberFormat="1" applyFont="1" applyBorder="1" applyAlignment="1">
      <alignment horizontal="center" vertical="center"/>
    </xf>
    <xf numFmtId="0" fontId="35" fillId="0" borderId="27" xfId="0" applyFont="1" applyBorder="1"/>
    <xf numFmtId="0" fontId="12" fillId="3" borderId="0" xfId="0" applyFont="1" applyFill="1" applyBorder="1" applyAlignment="1">
      <alignment horizontal="right" vertical="center" wrapText="1"/>
    </xf>
    <xf numFmtId="0" fontId="26" fillId="0" borderId="0" xfId="0" applyFont="1" applyBorder="1"/>
    <xf numFmtId="3" fontId="33" fillId="0" borderId="37" xfId="0" applyNumberFormat="1" applyFont="1" applyBorder="1" applyAlignment="1">
      <alignment vertical="center"/>
    </xf>
    <xf numFmtId="3" fontId="33" fillId="0" borderId="41" xfId="0" applyNumberFormat="1" applyFont="1" applyBorder="1" applyAlignment="1">
      <alignment vertical="center"/>
    </xf>
    <xf numFmtId="0" fontId="22" fillId="15" borderId="0" xfId="0" applyFont="1" applyFill="1" applyAlignment="1">
      <alignment horizontal="center" vertical="center"/>
    </xf>
    <xf numFmtId="164" fontId="0" fillId="0" borderId="0" xfId="0" applyNumberFormat="1" applyBorder="1"/>
    <xf numFmtId="1" fontId="0" fillId="0" borderId="0" xfId="0" applyNumberFormat="1" applyBorder="1"/>
    <xf numFmtId="3" fontId="10" fillId="0" borderId="0" xfId="0" applyNumberFormat="1" applyFont="1"/>
    <xf numFmtId="0" fontId="0" fillId="0" borderId="0" xfId="0" applyFill="1" applyAlignment="1">
      <alignment horizontal="left"/>
    </xf>
    <xf numFmtId="2" fontId="10" fillId="0" borderId="0" xfId="0" quotePrefix="1" applyNumberFormat="1" applyFont="1"/>
    <xf numFmtId="164" fontId="10" fillId="0" borderId="0" xfId="0" applyNumberFormat="1" applyFont="1" applyFill="1" applyBorder="1"/>
    <xf numFmtId="0" fontId="22" fillId="0" borderId="0" xfId="0" applyFont="1" applyFill="1" applyAlignment="1">
      <alignment horizontal="center" vertical="center"/>
    </xf>
    <xf numFmtId="164" fontId="10" fillId="0" borderId="0" xfId="0" applyNumberFormat="1" applyFont="1" applyFill="1" applyAlignment="1">
      <alignment horizontal="center" vertical="center"/>
    </xf>
    <xf numFmtId="0" fontId="0" fillId="0" borderId="0" xfId="0" applyAlignment="1">
      <alignment horizontal="center"/>
    </xf>
    <xf numFmtId="0" fontId="10" fillId="0" borderId="0" xfId="0" applyFont="1" applyAlignment="1">
      <alignment horizontal="right"/>
    </xf>
    <xf numFmtId="164" fontId="0" fillId="0" borderId="11" xfId="0" applyNumberFormat="1" applyBorder="1"/>
    <xf numFmtId="164" fontId="0" fillId="0" borderId="12" xfId="0" applyNumberFormat="1" applyBorder="1"/>
    <xf numFmtId="164" fontId="0" fillId="0" borderId="13" xfId="0" applyNumberFormat="1" applyBorder="1"/>
    <xf numFmtId="164" fontId="0" fillId="0" borderId="15" xfId="0" applyNumberFormat="1" applyBorder="1"/>
    <xf numFmtId="164" fontId="0" fillId="0" borderId="16" xfId="0" applyNumberFormat="1" applyBorder="1"/>
    <xf numFmtId="164" fontId="0" fillId="0" borderId="17" xfId="0" applyNumberFormat="1" applyBorder="1"/>
    <xf numFmtId="164" fontId="0" fillId="0" borderId="18" xfId="0" applyNumberFormat="1" applyBorder="1"/>
    <xf numFmtId="1" fontId="0" fillId="0" borderId="0" xfId="0" applyNumberFormat="1"/>
    <xf numFmtId="0" fontId="26" fillId="0" borderId="0" xfId="0" applyFont="1" applyAlignment="1">
      <alignment horizontal="left"/>
    </xf>
    <xf numFmtId="0" fontId="23" fillId="0" borderId="1" xfId="0" applyFont="1" applyBorder="1" applyAlignment="1">
      <alignment vertical="center" wrapText="1"/>
    </xf>
    <xf numFmtId="0" fontId="23" fillId="0" borderId="42" xfId="0" applyFont="1" applyBorder="1" applyAlignment="1">
      <alignment vertical="center" wrapText="1"/>
    </xf>
    <xf numFmtId="0" fontId="24" fillId="0" borderId="43" xfId="0" applyFont="1" applyBorder="1" applyAlignment="1">
      <alignment vertical="center" wrapText="1"/>
    </xf>
    <xf numFmtId="2" fontId="23" fillId="0" borderId="45" xfId="0" applyNumberFormat="1" applyFont="1" applyBorder="1" applyAlignment="1">
      <alignment vertical="center" wrapText="1"/>
    </xf>
    <xf numFmtId="2" fontId="23" fillId="0" borderId="4" xfId="0" applyNumberFormat="1" applyFont="1" applyBorder="1" applyAlignment="1">
      <alignment vertical="center" wrapText="1"/>
    </xf>
    <xf numFmtId="2" fontId="23" fillId="0" borderId="46" xfId="0" applyNumberFormat="1" applyFont="1" applyBorder="1" applyAlignment="1">
      <alignment vertical="center" wrapText="1"/>
    </xf>
    <xf numFmtId="2" fontId="23" fillId="0" borderId="47" xfId="0" applyNumberFormat="1" applyFont="1" applyBorder="1" applyAlignment="1">
      <alignment vertical="center" wrapText="1"/>
    </xf>
    <xf numFmtId="2" fontId="23" fillId="0" borderId="48" xfId="0" applyNumberFormat="1" applyFont="1" applyBorder="1" applyAlignment="1">
      <alignment vertical="center" wrapText="1"/>
    </xf>
    <xf numFmtId="2" fontId="23" fillId="0" borderId="18" xfId="0" applyNumberFormat="1" applyFont="1" applyBorder="1" applyAlignment="1">
      <alignment vertical="center" wrapText="1"/>
    </xf>
    <xf numFmtId="0" fontId="16" fillId="0" borderId="0" xfId="0" applyFont="1" applyBorder="1" applyAlignment="1">
      <alignment horizontal="right"/>
    </xf>
    <xf numFmtId="0" fontId="16" fillId="0" borderId="0" xfId="0" applyFont="1" applyBorder="1"/>
    <xf numFmtId="0" fontId="19" fillId="0" borderId="0" xfId="0" applyFont="1" applyFill="1" applyBorder="1" applyAlignment="1">
      <alignment horizontal="center" vertical="center" wrapText="1"/>
    </xf>
    <xf numFmtId="0" fontId="35" fillId="0" borderId="27" xfId="0" applyFont="1" applyBorder="1" applyAlignment="1">
      <alignment horizontal="center"/>
    </xf>
    <xf numFmtId="0" fontId="33" fillId="0" borderId="0" xfId="0" applyFont="1" applyBorder="1"/>
    <xf numFmtId="3" fontId="33" fillId="0" borderId="0" xfId="0" applyNumberFormat="1" applyFont="1" applyBorder="1" applyAlignment="1">
      <alignment horizontal="center" vertical="center"/>
    </xf>
    <xf numFmtId="3" fontId="33" fillId="0" borderId="0" xfId="0" applyNumberFormat="1" applyFont="1" applyBorder="1" applyAlignment="1">
      <alignment horizontal="center"/>
    </xf>
    <xf numFmtId="0" fontId="0" fillId="0" borderId="0" xfId="0" applyAlignment="1">
      <alignment horizontal="left"/>
    </xf>
    <xf numFmtId="0" fontId="0" fillId="0" borderId="0" xfId="0" applyBorder="1" applyAlignment="1">
      <alignment horizontal="center"/>
    </xf>
    <xf numFmtId="0" fontId="10"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3" fontId="32" fillId="0" borderId="27" xfId="0" applyNumberFormat="1" applyFont="1" applyFill="1" applyBorder="1" applyAlignment="1">
      <alignment horizontal="center" vertical="center" wrapText="1"/>
    </xf>
    <xf numFmtId="3" fontId="32" fillId="0" borderId="27" xfId="0" applyNumberFormat="1" applyFont="1" applyFill="1" applyBorder="1" applyAlignment="1">
      <alignment horizontal="center" wrapText="1"/>
    </xf>
    <xf numFmtId="3" fontId="32" fillId="0" borderId="33" xfId="0" applyNumberFormat="1" applyFont="1" applyFill="1" applyBorder="1" applyAlignment="1">
      <alignment horizontal="center" wrapText="1"/>
    </xf>
    <xf numFmtId="3" fontId="32" fillId="0" borderId="33" xfId="0" applyNumberFormat="1" applyFont="1" applyFill="1" applyBorder="1" applyAlignment="1">
      <alignment horizontal="center" vertical="center" wrapText="1"/>
    </xf>
    <xf numFmtId="3" fontId="25" fillId="0" borderId="27" xfId="0" applyNumberFormat="1" applyFont="1" applyFill="1" applyBorder="1" applyAlignment="1">
      <alignment horizontal="center"/>
    </xf>
    <xf numFmtId="3" fontId="33" fillId="0" borderId="27" xfId="0" applyNumberFormat="1" applyFont="1" applyFill="1" applyBorder="1" applyAlignment="1">
      <alignment horizontal="center"/>
    </xf>
    <xf numFmtId="0" fontId="0" fillId="0" borderId="0" xfId="0" applyBorder="1" applyAlignment="1">
      <alignment horizontal="left"/>
    </xf>
    <xf numFmtId="0" fontId="11" fillId="3" borderId="32" xfId="0" applyFont="1" applyFill="1" applyBorder="1" applyAlignment="1">
      <alignment wrapText="1"/>
    </xf>
    <xf numFmtId="0" fontId="11" fillId="3" borderId="28" xfId="0" applyFont="1" applyFill="1" applyBorder="1" applyAlignment="1">
      <alignment wrapText="1"/>
    </xf>
    <xf numFmtId="0" fontId="12" fillId="3" borderId="50" xfId="0" applyFont="1" applyFill="1" applyBorder="1" applyAlignment="1">
      <alignment horizontal="center" vertical="center" wrapText="1"/>
    </xf>
    <xf numFmtId="0" fontId="0" fillId="0" borderId="28" xfId="0" applyBorder="1"/>
    <xf numFmtId="0" fontId="18" fillId="0" borderId="0" xfId="0" applyFont="1"/>
    <xf numFmtId="0" fontId="1" fillId="0" borderId="0" xfId="0" applyFont="1" applyBorder="1"/>
    <xf numFmtId="3" fontId="41" fillId="0" borderId="27" xfId="0" applyNumberFormat="1" applyFont="1" applyFill="1" applyBorder="1" applyAlignment="1">
      <alignment horizontal="center" vertical="center" wrapText="1"/>
    </xf>
    <xf numFmtId="3" fontId="18" fillId="0" borderId="0" xfId="0" applyNumberFormat="1" applyFont="1"/>
    <xf numFmtId="3" fontId="41" fillId="0" borderId="27" xfId="0" applyNumberFormat="1" applyFont="1" applyBorder="1"/>
    <xf numFmtId="0" fontId="0" fillId="0" borderId="51" xfId="0" applyBorder="1" applyAlignment="1">
      <alignment horizontal="center"/>
    </xf>
    <xf numFmtId="4" fontId="32" fillId="0" borderId="27" xfId="0" applyNumberFormat="1" applyFont="1" applyFill="1" applyBorder="1" applyAlignment="1">
      <alignment horizontal="center" vertical="center" wrapText="1"/>
    </xf>
    <xf numFmtId="4" fontId="32" fillId="0" borderId="33" xfId="0" applyNumberFormat="1" applyFont="1" applyFill="1" applyBorder="1" applyAlignment="1">
      <alignment horizontal="center" vertical="center" wrapText="1"/>
    </xf>
    <xf numFmtId="4" fontId="32" fillId="0" borderId="27" xfId="0" applyNumberFormat="1" applyFont="1" applyFill="1" applyBorder="1" applyAlignment="1">
      <alignment horizontal="center" wrapText="1"/>
    </xf>
    <xf numFmtId="4" fontId="32" fillId="0" borderId="33" xfId="0" applyNumberFormat="1" applyFont="1" applyFill="1" applyBorder="1" applyAlignment="1">
      <alignment horizontal="center" wrapText="1"/>
    </xf>
    <xf numFmtId="0" fontId="0" fillId="0" borderId="39" xfId="0" applyBorder="1" applyAlignment="1">
      <alignment horizontal="center"/>
    </xf>
    <xf numFmtId="165" fontId="42" fillId="0" borderId="0" xfId="0" applyNumberFormat="1" applyFont="1"/>
    <xf numFmtId="0" fontId="43" fillId="0" borderId="0" xfId="0" applyFont="1" applyAlignment="1">
      <alignment horizontal="center"/>
    </xf>
    <xf numFmtId="165" fontId="0" fillId="0" borderId="29" xfId="0" applyNumberFormat="1" applyBorder="1"/>
    <xf numFmtId="165" fontId="0" fillId="0" borderId="30" xfId="0" applyNumberFormat="1" applyBorder="1"/>
    <xf numFmtId="0" fontId="14" fillId="0" borderId="0" xfId="0" applyFont="1"/>
    <xf numFmtId="0" fontId="44" fillId="0" borderId="0" xfId="0" applyFont="1"/>
    <xf numFmtId="0" fontId="35" fillId="0" borderId="37" xfId="0" applyFont="1" applyFill="1" applyBorder="1" applyAlignment="1">
      <alignment horizontal="center"/>
    </xf>
    <xf numFmtId="3" fontId="32" fillId="0" borderId="37" xfId="0" applyNumberFormat="1" applyFont="1" applyFill="1" applyBorder="1" applyAlignment="1">
      <alignment horizontal="center" wrapText="1"/>
    </xf>
    <xf numFmtId="4" fontId="25" fillId="0" borderId="37" xfId="0" applyNumberFormat="1" applyFont="1" applyFill="1" applyBorder="1" applyAlignment="1">
      <alignment horizontal="center"/>
    </xf>
    <xf numFmtId="4" fontId="33" fillId="0" borderId="0" xfId="0" applyNumberFormat="1" applyFont="1" applyFill="1" applyBorder="1" applyAlignment="1">
      <alignment horizontal="center"/>
    </xf>
    <xf numFmtId="4" fontId="33" fillId="0" borderId="39" xfId="0" applyNumberFormat="1" applyFont="1" applyFill="1" applyBorder="1" applyAlignment="1">
      <alignment horizontal="center"/>
    </xf>
    <xf numFmtId="3" fontId="32" fillId="0" borderId="39" xfId="0" applyNumberFormat="1" applyFont="1" applyFill="1" applyBorder="1" applyAlignment="1">
      <alignment horizontal="center" vertical="center" wrapText="1"/>
    </xf>
    <xf numFmtId="3" fontId="25" fillId="0" borderId="37" xfId="0" applyNumberFormat="1" applyFont="1" applyFill="1" applyBorder="1" applyAlignment="1">
      <alignment horizontal="center"/>
    </xf>
    <xf numFmtId="3" fontId="33" fillId="0" borderId="0" xfId="0" applyNumberFormat="1" applyFont="1" applyFill="1" applyBorder="1" applyAlignment="1">
      <alignment horizontal="center"/>
    </xf>
    <xf numFmtId="0" fontId="29" fillId="0" borderId="39" xfId="0" applyFont="1" applyFill="1" applyBorder="1" applyAlignment="1">
      <alignment vertical="center" wrapText="1"/>
    </xf>
    <xf numFmtId="3" fontId="33" fillId="0" borderId="39" xfId="0" applyNumberFormat="1" applyFont="1" applyFill="1" applyBorder="1" applyAlignment="1">
      <alignment horizontal="center"/>
    </xf>
    <xf numFmtId="0" fontId="35" fillId="0" borderId="37" xfId="0" applyFont="1" applyBorder="1" applyAlignment="1">
      <alignment horizontal="right"/>
    </xf>
    <xf numFmtId="3" fontId="33" fillId="0" borderId="37" xfId="0" applyNumberFormat="1" applyFont="1" applyBorder="1"/>
    <xf numFmtId="0" fontId="33" fillId="0" borderId="39" xfId="0" applyFont="1" applyBorder="1"/>
    <xf numFmtId="3" fontId="33" fillId="0" borderId="39" xfId="0" applyNumberFormat="1" applyFont="1" applyBorder="1" applyAlignment="1">
      <alignment horizontal="center" vertical="center"/>
    </xf>
    <xf numFmtId="3" fontId="45" fillId="0" borderId="27" xfId="0" applyNumberFormat="1" applyFont="1" applyFill="1" applyBorder="1" applyAlignment="1">
      <alignment horizontal="center" vertical="center" wrapText="1"/>
    </xf>
    <xf numFmtId="3" fontId="32" fillId="3" borderId="27" xfId="0" applyNumberFormat="1" applyFont="1" applyFill="1" applyBorder="1" applyAlignment="1">
      <alignment horizontal="right" vertical="center" wrapText="1"/>
    </xf>
    <xf numFmtId="3" fontId="33" fillId="0" borderId="27" xfId="0" applyNumberFormat="1" applyFont="1" applyBorder="1" applyAlignment="1">
      <alignment horizontal="right"/>
    </xf>
    <xf numFmtId="0" fontId="46" fillId="0" borderId="0" xfId="0" applyFont="1" applyAlignment="1">
      <alignment vertical="center"/>
    </xf>
    <xf numFmtId="0" fontId="47" fillId="16" borderId="43" xfId="0" applyFont="1" applyFill="1" applyBorder="1" applyAlignment="1">
      <alignment horizontal="center" vertical="center" wrapText="1"/>
    </xf>
    <xf numFmtId="0" fontId="47" fillId="16" borderId="4" xfId="0" applyFont="1" applyFill="1" applyBorder="1" applyAlignment="1">
      <alignment horizontal="center" vertical="center" wrapText="1"/>
    </xf>
    <xf numFmtId="3" fontId="0" fillId="0" borderId="53" xfId="0" applyNumberFormat="1" applyBorder="1"/>
    <xf numFmtId="0" fontId="49" fillId="0" borderId="0" xfId="0" applyFont="1"/>
    <xf numFmtId="0" fontId="31" fillId="16" borderId="43" xfId="0" applyFont="1" applyFill="1" applyBorder="1" applyAlignment="1">
      <alignment vertical="center" wrapText="1"/>
    </xf>
    <xf numFmtId="0" fontId="47" fillId="16" borderId="2" xfId="0" applyFont="1" applyFill="1" applyBorder="1" applyAlignment="1">
      <alignment horizontal="center" vertical="center" wrapText="1"/>
    </xf>
    <xf numFmtId="0" fontId="31" fillId="16" borderId="4" xfId="0" applyFont="1" applyFill="1" applyBorder="1" applyAlignment="1">
      <alignment vertical="center" wrapText="1"/>
    </xf>
    <xf numFmtId="0" fontId="50" fillId="0" borderId="1" xfId="0" applyFont="1" applyBorder="1" applyAlignment="1">
      <alignment horizontal="right" vertical="center"/>
    </xf>
    <xf numFmtId="0" fontId="50" fillId="0" borderId="2" xfId="0" applyFont="1" applyBorder="1" applyAlignment="1">
      <alignment horizontal="right" vertical="center"/>
    </xf>
    <xf numFmtId="0" fontId="51" fillId="0" borderId="2" xfId="0" applyFont="1" applyBorder="1" applyAlignment="1">
      <alignment horizontal="right" vertical="center" wrapText="1"/>
    </xf>
    <xf numFmtId="3" fontId="0" fillId="0" borderId="55" xfId="0" applyNumberFormat="1" applyBorder="1"/>
    <xf numFmtId="0" fontId="47" fillId="16" borderId="52" xfId="0" applyFont="1" applyFill="1" applyBorder="1" applyAlignment="1">
      <alignment horizontal="center" vertical="center" wrapText="1"/>
    </xf>
    <xf numFmtId="0" fontId="47" fillId="16" borderId="3" xfId="0" applyFont="1" applyFill="1" applyBorder="1" applyAlignment="1">
      <alignment horizontal="center" vertical="center" wrapText="1"/>
    </xf>
    <xf numFmtId="0" fontId="43" fillId="0" borderId="0" xfId="0" applyFont="1" applyAlignment="1">
      <alignment horizontal="center" wrapText="1"/>
    </xf>
    <xf numFmtId="0" fontId="0" fillId="0" borderId="51" xfId="0" applyBorder="1"/>
    <xf numFmtId="164" fontId="10" fillId="0" borderId="51" xfId="0" applyNumberFormat="1" applyFont="1" applyBorder="1"/>
    <xf numFmtId="0" fontId="10" fillId="0" borderId="39" xfId="0" applyFont="1" applyBorder="1" applyAlignment="1">
      <alignment horizontal="right" vertical="center" wrapText="1"/>
    </xf>
    <xf numFmtId="3" fontId="10" fillId="0" borderId="56" xfId="0" applyNumberFormat="1" applyFont="1" applyBorder="1"/>
    <xf numFmtId="0" fontId="10" fillId="0" borderId="0" xfId="0" applyFont="1" applyBorder="1" applyAlignment="1">
      <alignment horizontal="right" vertical="center" wrapText="1"/>
    </xf>
    <xf numFmtId="3" fontId="10" fillId="0" borderId="40" xfId="0" applyNumberFormat="1" applyFont="1" applyBorder="1"/>
    <xf numFmtId="0" fontId="0" fillId="0" borderId="1" xfId="0" applyBorder="1"/>
    <xf numFmtId="3" fontId="0" fillId="0" borderId="51" xfId="0" applyNumberFormat="1" applyBorder="1"/>
    <xf numFmtId="0" fontId="0" fillId="0" borderId="0" xfId="0" applyBorder="1" applyAlignment="1">
      <alignment wrapText="1"/>
    </xf>
    <xf numFmtId="0" fontId="0" fillId="0" borderId="0" xfId="0" applyBorder="1" applyAlignment="1">
      <alignment horizontal="right"/>
    </xf>
    <xf numFmtId="3" fontId="0" fillId="0" borderId="57" xfId="0" applyNumberFormat="1" applyBorder="1"/>
    <xf numFmtId="0" fontId="0" fillId="0" borderId="0" xfId="0" applyAlignment="1">
      <alignment horizontal="center"/>
    </xf>
    <xf numFmtId="0" fontId="10" fillId="0" borderId="0" xfId="0" applyFont="1" applyAlignment="1">
      <alignment horizontal="center"/>
    </xf>
    <xf numFmtId="0" fontId="0" fillId="0" borderId="0" xfId="0" applyAlignment="1">
      <alignment horizontal="center"/>
    </xf>
    <xf numFmtId="3" fontId="32" fillId="22" borderId="27" xfId="0" applyNumberFormat="1" applyFont="1" applyFill="1" applyBorder="1" applyAlignment="1">
      <alignment horizontal="center" vertical="center" wrapText="1"/>
    </xf>
    <xf numFmtId="3" fontId="32" fillId="22" borderId="33" xfId="0" applyNumberFormat="1" applyFont="1" applyFill="1" applyBorder="1" applyAlignment="1">
      <alignment horizontal="center" vertical="center" wrapText="1"/>
    </xf>
    <xf numFmtId="3" fontId="32" fillId="22" borderId="27" xfId="0" applyNumberFormat="1" applyFont="1" applyFill="1" applyBorder="1" applyAlignment="1">
      <alignment horizontal="center" wrapText="1"/>
    </xf>
    <xf numFmtId="3" fontId="32" fillId="22" borderId="33" xfId="0" applyNumberFormat="1" applyFont="1" applyFill="1" applyBorder="1" applyAlignment="1">
      <alignment horizontal="center" wrapText="1"/>
    </xf>
    <xf numFmtId="0" fontId="12" fillId="23" borderId="0" xfId="0" applyFont="1" applyFill="1" applyAlignment="1">
      <alignment vertical="center" wrapText="1"/>
    </xf>
    <xf numFmtId="0" fontId="12" fillId="24" borderId="0" xfId="0" applyFont="1" applyFill="1" applyBorder="1" applyAlignment="1">
      <alignment vertical="center" wrapText="1"/>
    </xf>
    <xf numFmtId="0" fontId="12" fillId="25" borderId="0" xfId="0" applyFont="1" applyFill="1" applyAlignment="1">
      <alignment vertical="center" wrapText="1"/>
    </xf>
    <xf numFmtId="0" fontId="12" fillId="26" borderId="0" xfId="0" applyFont="1" applyFill="1" applyBorder="1" applyAlignment="1">
      <alignment vertical="center" wrapText="1"/>
    </xf>
    <xf numFmtId="0" fontId="12" fillId="24" borderId="0" xfId="0" applyFont="1" applyFill="1" applyBorder="1" applyAlignment="1">
      <alignment horizontal="center" vertical="center" wrapText="1"/>
    </xf>
    <xf numFmtId="0" fontId="16" fillId="25" borderId="0" xfId="0" applyFont="1" applyFill="1"/>
    <xf numFmtId="0" fontId="12" fillId="26" borderId="0" xfId="0" applyFont="1" applyFill="1" applyBorder="1" applyAlignment="1">
      <alignment horizontal="center" vertical="center" wrapText="1"/>
    </xf>
    <xf numFmtId="0" fontId="55" fillId="0" borderId="0" xfId="0" applyFont="1"/>
    <xf numFmtId="4" fontId="29" fillId="0" borderId="27" xfId="0" applyNumberFormat="1" applyFont="1" applyFill="1" applyBorder="1" applyAlignment="1">
      <alignment horizontal="center" vertical="center" wrapText="1"/>
    </xf>
    <xf numFmtId="2" fontId="32" fillId="0" borderId="27" xfId="0" applyNumberFormat="1" applyFont="1" applyFill="1" applyBorder="1" applyAlignment="1">
      <alignment horizontal="center" wrapText="1"/>
    </xf>
    <xf numFmtId="2" fontId="32" fillId="0" borderId="27" xfId="0" applyNumberFormat="1" applyFont="1" applyFill="1" applyBorder="1" applyAlignment="1">
      <alignment horizontal="center" vertical="center" wrapText="1"/>
    </xf>
    <xf numFmtId="165" fontId="32" fillId="0" borderId="27" xfId="0" applyNumberFormat="1" applyFont="1" applyFill="1" applyBorder="1" applyAlignment="1">
      <alignment wrapText="1"/>
    </xf>
    <xf numFmtId="3" fontId="53" fillId="17" borderId="49" xfId="1" applyNumberFormat="1" applyFont="1" applyFill="1" applyBorder="1"/>
    <xf numFmtId="0" fontId="56" fillId="0" borderId="0" xfId="0" applyFont="1"/>
    <xf numFmtId="0" fontId="57" fillId="0" borderId="0" xfId="0" applyFont="1"/>
    <xf numFmtId="0" fontId="58" fillId="0" borderId="0" xfId="0" applyFont="1"/>
    <xf numFmtId="0" fontId="31" fillId="0" borderId="0" xfId="0" applyFont="1"/>
    <xf numFmtId="0" fontId="31" fillId="0" borderId="0" xfId="0" applyFont="1" applyAlignment="1">
      <alignment horizontal="center"/>
    </xf>
    <xf numFmtId="0" fontId="59" fillId="0" borderId="27" xfId="0" applyFont="1" applyBorder="1" applyAlignment="1">
      <alignment horizontal="center"/>
    </xf>
    <xf numFmtId="3" fontId="32" fillId="27" borderId="27" xfId="0" applyNumberFormat="1" applyFont="1" applyFill="1" applyBorder="1" applyAlignment="1">
      <alignment horizontal="center" vertical="center" wrapText="1"/>
    </xf>
    <xf numFmtId="3" fontId="32" fillId="27" borderId="27" xfId="0" applyNumberFormat="1" applyFont="1" applyFill="1" applyBorder="1" applyAlignment="1">
      <alignment horizontal="center" wrapText="1"/>
    </xf>
    <xf numFmtId="3" fontId="32" fillId="27" borderId="33" xfId="0" applyNumberFormat="1" applyFont="1" applyFill="1" applyBorder="1" applyAlignment="1">
      <alignment horizontal="center" wrapText="1"/>
    </xf>
    <xf numFmtId="3" fontId="33" fillId="27" borderId="27" xfId="0" applyNumberFormat="1" applyFont="1" applyFill="1" applyBorder="1" applyAlignment="1">
      <alignment horizontal="center"/>
    </xf>
    <xf numFmtId="0" fontId="60" fillId="0" borderId="0" xfId="0" applyFont="1"/>
    <xf numFmtId="3" fontId="32" fillId="27" borderId="58" xfId="0" applyNumberFormat="1" applyFont="1" applyFill="1" applyBorder="1" applyAlignment="1">
      <alignment horizontal="center" vertical="center" wrapText="1"/>
    </xf>
    <xf numFmtId="3" fontId="32" fillId="27" borderId="58" xfId="0" applyNumberFormat="1" applyFont="1" applyFill="1" applyBorder="1" applyAlignment="1">
      <alignment horizontal="center" wrapText="1"/>
    </xf>
    <xf numFmtId="3" fontId="32" fillId="27" borderId="60" xfId="0" applyNumberFormat="1" applyFont="1" applyFill="1" applyBorder="1" applyAlignment="1">
      <alignment horizontal="center" wrapText="1"/>
    </xf>
    <xf numFmtId="3" fontId="32" fillId="27" borderId="61" xfId="0" applyNumberFormat="1" applyFont="1" applyFill="1" applyBorder="1" applyAlignment="1">
      <alignment horizontal="center" wrapText="1"/>
    </xf>
    <xf numFmtId="3" fontId="33" fillId="0" borderId="32" xfId="0" applyNumberFormat="1" applyFont="1" applyBorder="1" applyAlignment="1">
      <alignment horizontal="center"/>
    </xf>
    <xf numFmtId="0" fontId="33" fillId="0" borderId="27" xfId="0" applyFont="1" applyBorder="1" applyAlignment="1">
      <alignment horizontal="center" vertical="center"/>
    </xf>
    <xf numFmtId="1" fontId="61" fillId="0" borderId="58" xfId="0" applyNumberFormat="1" applyFont="1" applyBorder="1" applyAlignment="1">
      <alignment horizontal="center" vertical="center"/>
    </xf>
    <xf numFmtId="0" fontId="25" fillId="0" borderId="0" xfId="0" applyFont="1" applyAlignment="1">
      <alignment horizontal="center" vertical="center"/>
    </xf>
    <xf numFmtId="3" fontId="41" fillId="0" borderId="27" xfId="0" applyNumberFormat="1" applyFont="1" applyBorder="1" applyAlignment="1">
      <alignment horizontal="center" vertical="center"/>
    </xf>
    <xf numFmtId="3" fontId="33" fillId="27" borderId="27" xfId="0" applyNumberFormat="1" applyFont="1" applyFill="1" applyBorder="1"/>
    <xf numFmtId="0" fontId="59" fillId="0" borderId="27" xfId="0" applyFont="1" applyBorder="1"/>
    <xf numFmtId="0" fontId="16" fillId="0" borderId="27" xfId="0" applyFont="1" applyBorder="1" applyAlignment="1">
      <alignment horizontal="center"/>
    </xf>
    <xf numFmtId="0" fontId="33" fillId="0" borderId="0" xfId="0" applyFont="1"/>
    <xf numFmtId="3" fontId="32" fillId="27" borderId="61" xfId="0" applyNumberFormat="1" applyFont="1" applyFill="1" applyBorder="1" applyAlignment="1">
      <alignment horizontal="center" vertical="center" wrapText="1"/>
    </xf>
    <xf numFmtId="3" fontId="32" fillId="27" borderId="62" xfId="0" applyNumberFormat="1" applyFont="1" applyFill="1" applyBorder="1" applyAlignment="1">
      <alignment horizontal="center" wrapText="1"/>
    </xf>
    <xf numFmtId="3" fontId="32" fillId="27" borderId="60" xfId="0" applyNumberFormat="1" applyFont="1" applyFill="1" applyBorder="1" applyAlignment="1">
      <alignment horizontal="center" vertical="center" wrapText="1"/>
    </xf>
    <xf numFmtId="3" fontId="32" fillId="0" borderId="59" xfId="0" applyNumberFormat="1" applyFont="1" applyFill="1" applyBorder="1" applyAlignment="1">
      <alignment horizontal="center" vertical="center" wrapText="1"/>
    </xf>
    <xf numFmtId="0" fontId="0" fillId="0" borderId="58" xfId="0" applyBorder="1"/>
    <xf numFmtId="3" fontId="32" fillId="0" borderId="58" xfId="0" applyNumberFormat="1" applyFont="1" applyFill="1" applyBorder="1" applyAlignment="1">
      <alignment horizontal="center" vertical="center" wrapText="1"/>
    </xf>
    <xf numFmtId="3" fontId="32" fillId="0" borderId="58" xfId="0" applyNumberFormat="1" applyFont="1" applyFill="1" applyBorder="1" applyAlignment="1">
      <alignment horizontal="center" wrapText="1"/>
    </xf>
    <xf numFmtId="3" fontId="32" fillId="0" borderId="60" xfId="0" applyNumberFormat="1" applyFont="1" applyFill="1" applyBorder="1" applyAlignment="1">
      <alignment horizontal="center" wrapText="1"/>
    </xf>
    <xf numFmtId="3" fontId="32" fillId="0" borderId="60" xfId="0" applyNumberFormat="1" applyFont="1" applyFill="1" applyBorder="1" applyAlignment="1">
      <alignment horizontal="center" vertical="center" wrapText="1"/>
    </xf>
    <xf numFmtId="3" fontId="32" fillId="0" borderId="63" xfId="0" applyNumberFormat="1" applyFont="1" applyFill="1" applyBorder="1" applyAlignment="1">
      <alignment horizontal="center" wrapText="1"/>
    </xf>
    <xf numFmtId="3" fontId="32" fillId="0" borderId="63" xfId="0" applyNumberFormat="1" applyFont="1" applyFill="1" applyBorder="1" applyAlignment="1">
      <alignment horizontal="center" vertical="center" wrapText="1"/>
    </xf>
    <xf numFmtId="3" fontId="32" fillId="0" borderId="64" xfId="0" applyNumberFormat="1" applyFont="1" applyFill="1" applyBorder="1" applyAlignment="1">
      <alignment horizontal="center" vertical="center" wrapText="1"/>
    </xf>
    <xf numFmtId="3" fontId="32" fillId="0" borderId="66" xfId="0" applyNumberFormat="1" applyFont="1" applyFill="1" applyBorder="1" applyAlignment="1">
      <alignment horizontal="center" wrapText="1"/>
    </xf>
    <xf numFmtId="3" fontId="32" fillId="0" borderId="65" xfId="0" applyNumberFormat="1" applyFont="1" applyFill="1" applyBorder="1" applyAlignment="1">
      <alignment horizontal="center" wrapText="1"/>
    </xf>
    <xf numFmtId="3" fontId="32" fillId="0" borderId="67" xfId="0" applyNumberFormat="1" applyFont="1" applyFill="1" applyBorder="1" applyAlignment="1">
      <alignment horizontal="center" wrapText="1"/>
    </xf>
    <xf numFmtId="3" fontId="32" fillId="0" borderId="40" xfId="0" applyNumberFormat="1" applyFont="1" applyFill="1" applyBorder="1" applyAlignment="1">
      <alignment horizontal="center" wrapText="1"/>
    </xf>
    <xf numFmtId="3" fontId="32" fillId="0" borderId="67" xfId="0" applyNumberFormat="1" applyFont="1" applyFill="1" applyBorder="1" applyAlignment="1">
      <alignment horizontal="center" vertical="center" wrapText="1"/>
    </xf>
    <xf numFmtId="3" fontId="32" fillId="0" borderId="68" xfId="0" applyNumberFormat="1" applyFont="1" applyFill="1" applyBorder="1" applyAlignment="1">
      <alignment horizontal="center" vertical="center" wrapText="1"/>
    </xf>
    <xf numFmtId="3" fontId="32" fillId="0" borderId="69" xfId="0" applyNumberFormat="1" applyFont="1" applyFill="1" applyBorder="1" applyAlignment="1">
      <alignment horizontal="center" wrapText="1"/>
    </xf>
    <xf numFmtId="3" fontId="32" fillId="0" borderId="70" xfId="0" applyNumberFormat="1" applyFont="1" applyFill="1" applyBorder="1" applyAlignment="1">
      <alignment horizontal="center" vertical="center" wrapText="1"/>
    </xf>
    <xf numFmtId="3" fontId="32" fillId="0" borderId="71" xfId="0" applyNumberFormat="1" applyFont="1" applyFill="1" applyBorder="1" applyAlignment="1">
      <alignment horizontal="center" wrapText="1"/>
    </xf>
    <xf numFmtId="3" fontId="32" fillId="0" borderId="71" xfId="0" applyNumberFormat="1" applyFont="1" applyFill="1" applyBorder="1" applyAlignment="1">
      <alignment horizontal="center" vertical="center" wrapText="1"/>
    </xf>
    <xf numFmtId="0" fontId="33" fillId="0" borderId="27" xfId="0" applyFont="1" applyBorder="1" applyAlignment="1">
      <alignment horizontal="center"/>
    </xf>
    <xf numFmtId="165" fontId="32" fillId="0" borderId="28" xfId="0" applyNumberFormat="1" applyFont="1" applyFill="1" applyBorder="1" applyAlignment="1">
      <alignment wrapText="1"/>
    </xf>
    <xf numFmtId="0" fontId="60" fillId="0" borderId="0" xfId="0" applyFont="1" applyAlignment="1">
      <alignment vertical="center"/>
    </xf>
    <xf numFmtId="4" fontId="29" fillId="27" borderId="50" xfId="0" applyNumberFormat="1" applyFont="1" applyFill="1" applyBorder="1" applyAlignment="1">
      <alignment horizontal="center" vertical="center" wrapText="1"/>
    </xf>
    <xf numFmtId="0" fontId="29" fillId="27" borderId="74" xfId="0" applyFont="1" applyFill="1" applyBorder="1" applyAlignment="1">
      <alignment horizontal="center" vertical="center" wrapText="1"/>
    </xf>
    <xf numFmtId="0" fontId="29" fillId="27" borderId="79" xfId="0" applyFont="1" applyFill="1" applyBorder="1" applyAlignment="1">
      <alignment horizontal="center" vertical="center" wrapText="1"/>
    </xf>
    <xf numFmtId="0" fontId="31" fillId="27" borderId="39" xfId="0" applyFont="1" applyFill="1" applyBorder="1"/>
    <xf numFmtId="0" fontId="29" fillId="27" borderId="75" xfId="0" applyFont="1" applyFill="1" applyBorder="1" applyAlignment="1">
      <alignment horizontal="center" vertical="center" wrapText="1"/>
    </xf>
    <xf numFmtId="0" fontId="29" fillId="27" borderId="39" xfId="0" applyFont="1" applyFill="1" applyBorder="1" applyAlignment="1">
      <alignment horizontal="center" vertical="center" wrapText="1"/>
    </xf>
    <xf numFmtId="0" fontId="30" fillId="27" borderId="74" xfId="0" applyFont="1" applyFill="1" applyBorder="1" applyAlignment="1">
      <alignment wrapText="1"/>
    </xf>
    <xf numFmtId="0" fontId="30" fillId="27" borderId="79" xfId="0" applyFont="1" applyFill="1" applyBorder="1" applyAlignment="1">
      <alignment wrapText="1"/>
    </xf>
    <xf numFmtId="0" fontId="30" fillId="27" borderId="80" xfId="0" applyFont="1" applyFill="1" applyBorder="1" applyAlignment="1">
      <alignment wrapText="1"/>
    </xf>
    <xf numFmtId="0" fontId="29" fillId="27" borderId="66" xfId="0" applyFont="1" applyFill="1" applyBorder="1" applyAlignment="1">
      <alignment horizontal="center" vertical="center" wrapText="1"/>
    </xf>
    <xf numFmtId="4" fontId="29" fillId="27" borderId="61" xfId="0" applyNumberFormat="1" applyFont="1" applyFill="1" applyBorder="1" applyAlignment="1">
      <alignment horizontal="center" vertical="center" wrapText="1"/>
    </xf>
    <xf numFmtId="0" fontId="29" fillId="27" borderId="58" xfId="0" applyFont="1" applyFill="1" applyBorder="1" applyAlignment="1">
      <alignment horizontal="center" vertical="center" wrapText="1"/>
    </xf>
    <xf numFmtId="0" fontId="31" fillId="27" borderId="76" xfId="0" applyFont="1" applyFill="1" applyBorder="1"/>
    <xf numFmtId="0" fontId="29" fillId="27" borderId="76" xfId="0" applyFont="1" applyFill="1" applyBorder="1" applyAlignment="1">
      <alignment horizontal="center" vertical="center" wrapText="1"/>
    </xf>
    <xf numFmtId="0" fontId="29" fillId="27" borderId="61" xfId="0" applyFont="1" applyFill="1" applyBorder="1" applyAlignment="1">
      <alignment horizontal="center" vertical="center" wrapText="1"/>
    </xf>
    <xf numFmtId="0" fontId="29" fillId="27" borderId="67" xfId="0" applyFont="1" applyFill="1" applyBorder="1" applyAlignment="1">
      <alignment horizontal="center" vertical="center" wrapText="1"/>
    </xf>
    <xf numFmtId="0" fontId="30" fillId="27" borderId="58" xfId="0" applyFont="1" applyFill="1" applyBorder="1" applyAlignment="1">
      <alignment wrapText="1"/>
    </xf>
    <xf numFmtId="0" fontId="29" fillId="27" borderId="73" xfId="0" applyFont="1" applyFill="1" applyBorder="1" applyAlignment="1">
      <alignment horizontal="center" vertical="center" wrapText="1"/>
    </xf>
    <xf numFmtId="4" fontId="29" fillId="27" borderId="75" xfId="0" applyNumberFormat="1" applyFont="1" applyFill="1" applyBorder="1" applyAlignment="1">
      <alignment horizontal="center" vertical="center" wrapText="1"/>
    </xf>
    <xf numFmtId="0" fontId="31" fillId="27" borderId="0" xfId="0" applyFont="1" applyFill="1" applyBorder="1"/>
    <xf numFmtId="0" fontId="29" fillId="27" borderId="0" xfId="0" applyFont="1" applyFill="1" applyBorder="1" applyAlignment="1">
      <alignment horizontal="center" vertical="center" wrapText="1"/>
    </xf>
    <xf numFmtId="0" fontId="29" fillId="27" borderId="77" xfId="0" applyFont="1" applyFill="1" applyBorder="1" applyAlignment="1">
      <alignment horizontal="center" vertical="center" wrapText="1"/>
    </xf>
    <xf numFmtId="0" fontId="29" fillId="27" borderId="70" xfId="0" applyFont="1" applyFill="1" applyBorder="1" applyAlignment="1">
      <alignment horizontal="center" vertical="center" wrapText="1"/>
    </xf>
    <xf numFmtId="0" fontId="29" fillId="27" borderId="78" xfId="0" applyFont="1" applyFill="1" applyBorder="1" applyAlignment="1">
      <alignment horizontal="center" vertical="center" wrapText="1"/>
    </xf>
    <xf numFmtId="0" fontId="30" fillId="27" borderId="70" xfId="0" applyFont="1" applyFill="1" applyBorder="1" applyAlignment="1">
      <alignment wrapText="1"/>
    </xf>
    <xf numFmtId="4" fontId="29" fillId="27" borderId="58" xfId="0" applyNumberFormat="1" applyFont="1" applyFill="1" applyBorder="1" applyAlignment="1">
      <alignment horizontal="center" vertical="center" wrapText="1"/>
    </xf>
    <xf numFmtId="0" fontId="30" fillId="27" borderId="67" xfId="0" applyFont="1" applyFill="1" applyBorder="1" applyAlignment="1">
      <alignment wrapText="1"/>
    </xf>
    <xf numFmtId="0" fontId="30" fillId="27" borderId="73" xfId="0" applyFont="1" applyFill="1" applyBorder="1" applyAlignment="1">
      <alignment wrapText="1"/>
    </xf>
    <xf numFmtId="0" fontId="30" fillId="27" borderId="76" xfId="0" applyFont="1" applyFill="1" applyBorder="1" applyAlignment="1">
      <alignment wrapText="1"/>
    </xf>
    <xf numFmtId="0" fontId="40" fillId="27" borderId="58" xfId="0" applyFont="1" applyFill="1" applyBorder="1" applyAlignment="1">
      <alignment horizontal="left" vertical="center"/>
    </xf>
    <xf numFmtId="4" fontId="29" fillId="27" borderId="76" xfId="0" applyNumberFormat="1" applyFont="1" applyFill="1" applyBorder="1" applyAlignment="1">
      <alignment horizontal="center" vertical="center" wrapText="1"/>
    </xf>
    <xf numFmtId="0" fontId="29" fillId="27" borderId="81" xfId="0" applyFont="1" applyFill="1" applyBorder="1" applyAlignment="1">
      <alignment horizontal="center" vertical="center" wrapText="1"/>
    </xf>
    <xf numFmtId="0" fontId="30" fillId="27" borderId="75" xfId="0" applyFont="1" applyFill="1" applyBorder="1" applyAlignment="1">
      <alignment wrapText="1"/>
    </xf>
    <xf numFmtId="0" fontId="30" fillId="27" borderId="0" xfId="0" applyFont="1" applyFill="1" applyBorder="1" applyAlignment="1">
      <alignment wrapText="1"/>
    </xf>
    <xf numFmtId="0" fontId="30" fillId="27" borderId="72" xfId="0" applyFont="1" applyFill="1" applyBorder="1" applyAlignment="1">
      <alignment wrapText="1"/>
    </xf>
    <xf numFmtId="4" fontId="29" fillId="27" borderId="67" xfId="0" applyNumberFormat="1" applyFont="1" applyFill="1" applyBorder="1" applyAlignment="1">
      <alignment horizontal="center" vertical="center" wrapText="1"/>
    </xf>
    <xf numFmtId="0" fontId="35" fillId="0" borderId="37" xfId="0" applyFont="1" applyBorder="1" applyAlignment="1">
      <alignment horizontal="center" wrapText="1"/>
    </xf>
    <xf numFmtId="0" fontId="0" fillId="0" borderId="77" xfId="0" applyBorder="1"/>
    <xf numFmtId="0" fontId="27" fillId="0" borderId="0" xfId="0" applyFont="1" applyBorder="1"/>
    <xf numFmtId="0" fontId="55" fillId="21" borderId="0" xfId="0" applyFont="1" applyFill="1" applyAlignment="1">
      <alignment horizontal="center" vertical="center"/>
    </xf>
    <xf numFmtId="3" fontId="32" fillId="28" borderId="27" xfId="0" applyNumberFormat="1" applyFont="1" applyFill="1" applyBorder="1" applyAlignment="1">
      <alignment horizontal="center" vertical="center" wrapText="1"/>
    </xf>
    <xf numFmtId="3" fontId="32" fillId="28" borderId="27" xfId="0" applyNumberFormat="1" applyFont="1" applyFill="1" applyBorder="1" applyAlignment="1">
      <alignment horizontal="center" wrapText="1"/>
    </xf>
    <xf numFmtId="3" fontId="64" fillId="21" borderId="27" xfId="0" applyNumberFormat="1" applyFont="1" applyFill="1" applyBorder="1"/>
    <xf numFmtId="3" fontId="32" fillId="28" borderId="32" xfId="0" applyNumberFormat="1" applyFont="1" applyFill="1" applyBorder="1" applyAlignment="1">
      <alignment horizontal="center" vertical="center" wrapText="1"/>
    </xf>
    <xf numFmtId="0" fontId="55" fillId="0" borderId="0" xfId="0" applyFont="1" applyAlignment="1">
      <alignment horizontal="center" vertical="center"/>
    </xf>
    <xf numFmtId="3" fontId="64" fillId="21" borderId="27" xfId="0" applyNumberFormat="1" applyFont="1" applyFill="1" applyBorder="1" applyAlignment="1">
      <alignment horizontal="center"/>
    </xf>
    <xf numFmtId="3" fontId="64" fillId="0" borderId="27" xfId="0" applyNumberFormat="1" applyFont="1" applyFill="1" applyBorder="1"/>
    <xf numFmtId="0" fontId="3" fillId="0" borderId="27" xfId="0" applyFont="1" applyBorder="1" applyAlignment="1">
      <alignment vertical="center" wrapText="1"/>
    </xf>
    <xf numFmtId="0" fontId="4" fillId="0" borderId="27" xfId="0" applyFont="1" applyBorder="1" applyAlignment="1">
      <alignment vertical="center" wrapText="1"/>
    </xf>
    <xf numFmtId="0" fontId="54" fillId="18" borderId="27" xfId="0" applyFont="1" applyFill="1" applyBorder="1" applyAlignment="1">
      <alignment vertical="center" wrapText="1"/>
    </xf>
    <xf numFmtId="0" fontId="3" fillId="19" borderId="27" xfId="0" applyFont="1" applyFill="1" applyBorder="1" applyAlignment="1">
      <alignment vertical="center" wrapText="1"/>
    </xf>
    <xf numFmtId="0" fontId="3" fillId="20" borderId="27" xfId="0" applyFont="1" applyFill="1" applyBorder="1" applyAlignment="1">
      <alignment vertical="center" wrapText="1"/>
    </xf>
    <xf numFmtId="0" fontId="3" fillId="21" borderId="27" xfId="0" applyFont="1" applyFill="1" applyBorder="1" applyAlignment="1">
      <alignment vertical="center" wrapText="1"/>
    </xf>
    <xf numFmtId="0" fontId="0" fillId="0" borderId="33" xfId="0" applyBorder="1"/>
    <xf numFmtId="0" fontId="0" fillId="0" borderId="32" xfId="0" applyBorder="1"/>
    <xf numFmtId="0" fontId="12" fillId="9" borderId="0" xfId="0" applyFont="1" applyFill="1" applyBorder="1" applyAlignment="1">
      <alignment horizontal="right" vertical="center" wrapText="1"/>
    </xf>
    <xf numFmtId="3" fontId="0" fillId="2" borderId="27" xfId="0" applyNumberFormat="1" applyFill="1" applyBorder="1"/>
    <xf numFmtId="0" fontId="0" fillId="29" borderId="0" xfId="0" applyFill="1" applyAlignment="1">
      <alignment horizontal="right"/>
    </xf>
    <xf numFmtId="3" fontId="25" fillId="0" borderId="27" xfId="0" applyNumberFormat="1" applyFont="1" applyBorder="1" applyAlignment="1">
      <alignment horizontal="center"/>
    </xf>
    <xf numFmtId="3" fontId="25" fillId="0" borderId="0" xfId="0" applyNumberFormat="1" applyFont="1" applyFill="1" applyBorder="1" applyAlignment="1">
      <alignment horizontal="center"/>
    </xf>
    <xf numFmtId="0" fontId="65" fillId="0" borderId="0" xfId="0" applyFont="1"/>
    <xf numFmtId="0" fontId="66" fillId="0" borderId="0" xfId="0" applyFont="1" applyFill="1" applyBorder="1" applyAlignment="1">
      <alignment horizontal="left" vertical="center"/>
    </xf>
    <xf numFmtId="0" fontId="0" fillId="0" borderId="27" xfId="0" applyBorder="1" applyAlignment="1">
      <alignment horizontal="center"/>
    </xf>
    <xf numFmtId="0" fontId="29" fillId="4" borderId="27" xfId="0" applyFont="1" applyFill="1" applyBorder="1" applyAlignment="1">
      <alignment vertical="center" wrapText="1"/>
    </xf>
    <xf numFmtId="0" fontId="29" fillId="23" borderId="27" xfId="0" applyFont="1" applyFill="1" applyBorder="1" applyAlignment="1">
      <alignment vertical="center" wrapText="1"/>
    </xf>
    <xf numFmtId="0" fontId="33" fillId="25" borderId="27" xfId="0" applyFont="1" applyFill="1" applyBorder="1"/>
    <xf numFmtId="0" fontId="29" fillId="6" borderId="27" xfId="0" applyFont="1" applyFill="1" applyBorder="1" applyAlignment="1">
      <alignment vertical="center" wrapText="1"/>
    </xf>
    <xf numFmtId="0" fontId="29" fillId="7" borderId="27" xfId="0" applyFont="1" applyFill="1" applyBorder="1" applyAlignment="1">
      <alignment vertical="center" wrapText="1"/>
    </xf>
    <xf numFmtId="0" fontId="29" fillId="8" borderId="27" xfId="0" applyFont="1" applyFill="1" applyBorder="1" applyAlignment="1">
      <alignment vertical="center" wrapText="1"/>
    </xf>
    <xf numFmtId="0" fontId="29" fillId="25" borderId="27" xfId="0" applyFont="1" applyFill="1" applyBorder="1" applyAlignment="1">
      <alignment vertical="center" wrapText="1"/>
    </xf>
    <xf numFmtId="3" fontId="0" fillId="0" borderId="51" xfId="0" applyNumberFormat="1" applyFont="1" applyBorder="1"/>
    <xf numFmtId="0" fontId="0" fillId="0" borderId="82" xfId="0" applyBorder="1"/>
    <xf numFmtId="0" fontId="29" fillId="0" borderId="0" xfId="0" applyFont="1" applyFill="1" applyBorder="1" applyAlignment="1">
      <alignment vertical="center" wrapText="1"/>
    </xf>
    <xf numFmtId="0" fontId="0" fillId="0" borderId="0" xfId="0" applyAlignment="1">
      <alignment horizontal="left" wrapText="1"/>
    </xf>
    <xf numFmtId="0" fontId="1" fillId="0" borderId="0" xfId="0" applyFont="1" applyAlignment="1">
      <alignment horizontal="right" wrapText="1"/>
    </xf>
    <xf numFmtId="0" fontId="1" fillId="0" borderId="0" xfId="0" applyFont="1" applyAlignment="1">
      <alignment horizontal="right"/>
    </xf>
    <xf numFmtId="0" fontId="26" fillId="0" borderId="0" xfId="0" applyFont="1" applyAlignment="1">
      <alignment vertical="center"/>
    </xf>
    <xf numFmtId="0" fontId="0" fillId="0" borderId="1" xfId="0" applyBorder="1" applyAlignment="1">
      <alignment horizontal="center" wrapText="1"/>
    </xf>
    <xf numFmtId="165" fontId="0" fillId="0" borderId="27" xfId="0" applyNumberFormat="1" applyBorder="1"/>
    <xf numFmtId="1" fontId="0" fillId="0" borderId="27" xfId="0" applyNumberFormat="1" applyBorder="1"/>
    <xf numFmtId="0" fontId="0" fillId="0" borderId="86" xfId="0" applyBorder="1"/>
    <xf numFmtId="0" fontId="0" fillId="0" borderId="86" xfId="0" applyBorder="1" applyAlignment="1">
      <alignment horizontal="center" wrapText="1"/>
    </xf>
    <xf numFmtId="0" fontId="3" fillId="0" borderId="2" xfId="0" applyFont="1" applyBorder="1" applyAlignment="1">
      <alignment vertical="center" wrapText="1"/>
    </xf>
    <xf numFmtId="0" fontId="28" fillId="0" borderId="86" xfId="0" applyFont="1" applyBorder="1" applyAlignment="1">
      <alignment vertical="center" wrapText="1"/>
    </xf>
    <xf numFmtId="9" fontId="28" fillId="0" borderId="86" xfId="0" applyNumberFormat="1" applyFont="1" applyBorder="1" applyAlignment="1">
      <alignment vertical="center" wrapText="1"/>
    </xf>
    <xf numFmtId="0" fontId="28" fillId="0" borderId="27" xfId="0" applyFont="1" applyBorder="1" applyAlignment="1">
      <alignment vertical="center" wrapText="1"/>
    </xf>
    <xf numFmtId="9" fontId="28" fillId="0" borderId="27" xfId="0" applyNumberFormat="1" applyFont="1" applyBorder="1" applyAlignment="1">
      <alignment vertical="center" wrapText="1"/>
    </xf>
    <xf numFmtId="1" fontId="0" fillId="0" borderId="0" xfId="0" applyNumberFormat="1" applyBorder="1" applyAlignment="1">
      <alignment horizontal="left"/>
    </xf>
    <xf numFmtId="0" fontId="0" fillId="0" borderId="0" xfId="0" applyFill="1" applyBorder="1" applyAlignment="1">
      <alignment horizontal="left"/>
    </xf>
    <xf numFmtId="1" fontId="25" fillId="0" borderId="0" xfId="0" applyNumberFormat="1" applyFont="1"/>
    <xf numFmtId="3" fontId="25" fillId="0" borderId="27" xfId="0" applyNumberFormat="1" applyFont="1" applyBorder="1"/>
    <xf numFmtId="3" fontId="33" fillId="0" borderId="27" xfId="0" applyNumberFormat="1" applyFont="1" applyBorder="1" applyAlignment="1">
      <alignment horizontal="center"/>
    </xf>
    <xf numFmtId="1" fontId="0" fillId="0" borderId="0" xfId="0" applyNumberFormat="1"/>
    <xf numFmtId="3" fontId="61" fillId="3" borderId="61" xfId="0" applyNumberFormat="1" applyFont="1" applyFill="1" applyBorder="1" applyAlignment="1">
      <alignment horizontal="center" vertical="center" wrapText="1"/>
    </xf>
    <xf numFmtId="1" fontId="33" fillId="0" borderId="0" xfId="0" applyNumberFormat="1" applyFont="1" applyAlignment="1">
      <alignment horizontal="center" vertical="center"/>
    </xf>
    <xf numFmtId="3" fontId="32" fillId="28" borderId="32" xfId="0" applyNumberFormat="1" applyFont="1" applyFill="1" applyBorder="1" applyAlignment="1">
      <alignment horizontal="center" wrapText="1"/>
    </xf>
    <xf numFmtId="3" fontId="32" fillId="28" borderId="86" xfId="0" applyNumberFormat="1" applyFont="1" applyFill="1" applyBorder="1" applyAlignment="1">
      <alignment horizontal="center" vertical="center" wrapText="1"/>
    </xf>
    <xf numFmtId="9" fontId="32" fillId="0" borderId="11" xfId="2" applyFont="1" applyFill="1" applyBorder="1" applyAlignment="1">
      <alignment horizontal="center" wrapText="1"/>
    </xf>
    <xf numFmtId="9" fontId="32" fillId="0" borderId="12" xfId="2" applyFont="1" applyFill="1" applyBorder="1" applyAlignment="1">
      <alignment horizontal="center" vertical="center" wrapText="1"/>
    </xf>
    <xf numFmtId="9" fontId="32" fillId="0" borderId="13" xfId="2" applyFont="1" applyFill="1" applyBorder="1" applyAlignment="1">
      <alignment horizontal="center" vertical="center" wrapText="1"/>
    </xf>
    <xf numFmtId="9" fontId="32" fillId="0" borderId="14" xfId="2" applyFont="1" applyFill="1" applyBorder="1" applyAlignment="1">
      <alignment horizontal="center" wrapText="1"/>
    </xf>
    <xf numFmtId="9" fontId="32" fillId="0" borderId="0" xfId="2" applyFont="1" applyFill="1" applyBorder="1" applyAlignment="1">
      <alignment horizontal="center" vertical="center" wrapText="1"/>
    </xf>
    <xf numFmtId="9" fontId="32" fillId="0" borderId="15" xfId="2" applyFont="1" applyFill="1" applyBorder="1" applyAlignment="1">
      <alignment horizontal="center" vertical="center" wrapText="1"/>
    </xf>
    <xf numFmtId="9" fontId="32" fillId="0" borderId="16" xfId="2" applyFont="1" applyFill="1" applyBorder="1" applyAlignment="1">
      <alignment horizontal="center" vertical="center" wrapText="1"/>
    </xf>
    <xf numFmtId="9" fontId="32" fillId="0" borderId="17" xfId="2" applyFont="1" applyFill="1" applyBorder="1" applyAlignment="1">
      <alignment horizontal="center" vertical="center" wrapText="1"/>
    </xf>
    <xf numFmtId="9" fontId="32" fillId="0" borderId="18" xfId="2" applyFont="1" applyFill="1" applyBorder="1" applyAlignment="1">
      <alignment horizontal="center" vertical="center" wrapText="1"/>
    </xf>
    <xf numFmtId="3" fontId="32" fillId="28" borderId="64" xfId="0" applyNumberFormat="1" applyFont="1" applyFill="1" applyBorder="1" applyAlignment="1">
      <alignment horizontal="center" vertical="center" wrapText="1"/>
    </xf>
    <xf numFmtId="3" fontId="32" fillId="28" borderId="33" xfId="0" applyNumberFormat="1" applyFont="1" applyFill="1" applyBorder="1" applyAlignment="1">
      <alignment horizontal="center" vertical="center" wrapText="1"/>
    </xf>
    <xf numFmtId="3" fontId="32" fillId="28" borderId="28" xfId="0" applyNumberFormat="1" applyFont="1" applyFill="1" applyBorder="1" applyAlignment="1">
      <alignment horizontal="center" wrapText="1"/>
    </xf>
    <xf numFmtId="3" fontId="32" fillId="28" borderId="50" xfId="0" applyNumberFormat="1" applyFont="1" applyFill="1" applyBorder="1" applyAlignment="1">
      <alignment horizontal="center" vertical="center" wrapText="1"/>
    </xf>
    <xf numFmtId="9" fontId="32" fillId="0" borderId="12" xfId="2" applyFont="1" applyFill="1" applyBorder="1" applyAlignment="1">
      <alignment horizontal="center" wrapText="1"/>
    </xf>
    <xf numFmtId="9" fontId="32" fillId="0" borderId="14" xfId="2" applyFont="1" applyFill="1" applyBorder="1" applyAlignment="1">
      <alignment horizontal="center" vertical="center" wrapText="1"/>
    </xf>
    <xf numFmtId="9" fontId="32" fillId="0" borderId="0" xfId="2" applyFont="1" applyFill="1" applyBorder="1" applyAlignment="1">
      <alignment horizontal="center" wrapText="1"/>
    </xf>
    <xf numFmtId="9" fontId="32" fillId="0" borderId="17" xfId="2" applyFont="1" applyFill="1" applyBorder="1" applyAlignment="1">
      <alignment horizontal="center" wrapText="1"/>
    </xf>
    <xf numFmtId="9" fontId="0" fillId="0" borderId="0" xfId="0" applyNumberFormat="1" applyBorder="1"/>
    <xf numFmtId="0" fontId="31" fillId="0" borderId="0" xfId="0" applyFont="1" applyAlignment="1">
      <alignment wrapText="1"/>
    </xf>
    <xf numFmtId="9" fontId="31" fillId="0" borderId="0" xfId="0" applyNumberFormat="1" applyFont="1" applyBorder="1" applyAlignment="1">
      <alignment wrapText="1"/>
    </xf>
    <xf numFmtId="0" fontId="31" fillId="0" borderId="0" xfId="0" applyFont="1" applyAlignment="1">
      <alignment horizontal="right" wrapText="1"/>
    </xf>
    <xf numFmtId="3" fontId="0" fillId="0" borderId="27" xfId="0" applyNumberFormat="1" applyFill="1" applyBorder="1"/>
    <xf numFmtId="2" fontId="0" fillId="0" borderId="87" xfId="0" applyNumberFormat="1" applyBorder="1"/>
    <xf numFmtId="0" fontId="0" fillId="0" borderId="39" xfId="0" applyBorder="1" applyAlignment="1">
      <alignment horizontal="center" vertical="center"/>
    </xf>
    <xf numFmtId="0" fontId="19" fillId="0" borderId="39" xfId="0" applyFont="1" applyFill="1" applyBorder="1" applyAlignment="1">
      <alignment vertical="center" wrapText="1"/>
    </xf>
    <xf numFmtId="0" fontId="10" fillId="0" borderId="0" xfId="0" applyFont="1" applyAlignment="1">
      <alignment horizontal="center"/>
    </xf>
    <xf numFmtId="0" fontId="0" fillId="0" borderId="0" xfId="0" applyAlignment="1">
      <alignment horizontal="center"/>
    </xf>
    <xf numFmtId="0" fontId="0" fillId="0" borderId="0" xfId="0" applyBorder="1" applyAlignment="1">
      <alignment horizontal="center" vertical="center"/>
    </xf>
    <xf numFmtId="164" fontId="0" fillId="0" borderId="89" xfId="0" applyNumberFormat="1" applyBorder="1"/>
    <xf numFmtId="164" fontId="0" fillId="0" borderId="90" xfId="0" applyNumberFormat="1" applyBorder="1"/>
    <xf numFmtId="0" fontId="0" fillId="0" borderId="0" xfId="0" applyAlignment="1">
      <alignment horizontal="center" vertical="center"/>
    </xf>
    <xf numFmtId="0" fontId="0" fillId="0" borderId="0" xfId="0" applyAlignment="1">
      <alignment horizontal="center"/>
    </xf>
    <xf numFmtId="0" fontId="0" fillId="0" borderId="51" xfId="0" applyBorder="1" applyAlignment="1">
      <alignment wrapText="1"/>
    </xf>
    <xf numFmtId="0" fontId="31" fillId="0" borderId="0" xfId="0" applyFont="1" applyAlignment="1">
      <alignment horizontal="center" vertical="center" wrapText="1"/>
    </xf>
    <xf numFmtId="1" fontId="0" fillId="0" borderId="51" xfId="0" applyNumberFormat="1" applyBorder="1"/>
    <xf numFmtId="3" fontId="0" fillId="0" borderId="91" xfId="0" applyNumberFormat="1" applyBorder="1"/>
    <xf numFmtId="165" fontId="0" fillId="0" borderId="51" xfId="0" applyNumberFormat="1" applyBorder="1"/>
    <xf numFmtId="3" fontId="0" fillId="0" borderId="87" xfId="0" applyNumberFormat="1" applyBorder="1"/>
    <xf numFmtId="3" fontId="0" fillId="0" borderId="89" xfId="0" applyNumberFormat="1" applyBorder="1"/>
    <xf numFmtId="0" fontId="0" fillId="0" borderId="90" xfId="0" applyBorder="1"/>
    <xf numFmtId="3" fontId="0" fillId="0" borderId="88" xfId="0" applyNumberFormat="1" applyBorder="1"/>
    <xf numFmtId="0" fontId="0" fillId="0" borderId="50" xfId="0" applyBorder="1" applyAlignment="1">
      <alignment horizontal="center" wrapText="1"/>
    </xf>
    <xf numFmtId="0" fontId="0" fillId="0" borderId="39" xfId="0" applyBorder="1" applyAlignment="1">
      <alignment horizontal="center" wrapText="1"/>
    </xf>
    <xf numFmtId="3" fontId="32" fillId="0" borderId="27" xfId="0" applyNumberFormat="1" applyFont="1" applyBorder="1" applyAlignment="1">
      <alignment horizontal="center" vertical="center" wrapText="1"/>
    </xf>
    <xf numFmtId="167" fontId="10" fillId="0" borderId="0" xfId="2" applyNumberFormat="1" applyFont="1"/>
    <xf numFmtId="0" fontId="0" fillId="0" borderId="0" xfId="0" applyAlignment="1">
      <alignment horizontal="center"/>
    </xf>
    <xf numFmtId="0" fontId="70" fillId="0" borderId="0" xfId="0" applyFont="1"/>
    <xf numFmtId="3" fontId="10" fillId="0" borderId="27" xfId="0" applyNumberFormat="1" applyFont="1" applyBorder="1"/>
    <xf numFmtId="9" fontId="0" fillId="0" borderId="11" xfId="0" applyNumberFormat="1" applyBorder="1" applyAlignment="1">
      <alignment horizontal="center"/>
    </xf>
    <xf numFmtId="9" fontId="0" fillId="0" borderId="12" xfId="0" applyNumberFormat="1" applyBorder="1" applyAlignment="1">
      <alignment horizontal="center"/>
    </xf>
    <xf numFmtId="9" fontId="0" fillId="0" borderId="13" xfId="0" applyNumberFormat="1" applyBorder="1" applyAlignment="1">
      <alignment horizontal="center"/>
    </xf>
    <xf numFmtId="9" fontId="0" fillId="0" borderId="14" xfId="0" applyNumberFormat="1" applyBorder="1" applyAlignment="1">
      <alignment horizontal="center"/>
    </xf>
    <xf numFmtId="9" fontId="0" fillId="0" borderId="0" xfId="0" applyNumberFormat="1" applyBorder="1" applyAlignment="1">
      <alignment horizontal="center"/>
    </xf>
    <xf numFmtId="9" fontId="0" fillId="0" borderId="15" xfId="0" applyNumberFormat="1" applyBorder="1" applyAlignment="1">
      <alignment horizontal="center"/>
    </xf>
    <xf numFmtId="9" fontId="0" fillId="0" borderId="16" xfId="0" applyNumberFormat="1" applyBorder="1" applyAlignment="1">
      <alignment horizontal="center"/>
    </xf>
    <xf numFmtId="9" fontId="0" fillId="0" borderId="17" xfId="0" applyNumberFormat="1" applyBorder="1" applyAlignment="1">
      <alignment horizontal="center"/>
    </xf>
    <xf numFmtId="9" fontId="0" fillId="0" borderId="18" xfId="0" applyNumberFormat="1" applyBorder="1" applyAlignment="1">
      <alignment horizontal="center"/>
    </xf>
    <xf numFmtId="0" fontId="0" fillId="0" borderId="0" xfId="0" applyAlignment="1">
      <alignment horizontal="center" wrapText="1"/>
    </xf>
    <xf numFmtId="0" fontId="0" fillId="0" borderId="0" xfId="0" applyAlignment="1">
      <alignment horizontal="center"/>
    </xf>
    <xf numFmtId="0" fontId="24" fillId="0" borderId="1" xfId="0" applyFont="1" applyBorder="1" applyAlignment="1">
      <alignment vertical="center" wrapText="1"/>
    </xf>
    <xf numFmtId="0" fontId="24" fillId="0" borderId="2" xfId="0" applyFont="1" applyBorder="1" applyAlignment="1">
      <alignment vertical="center" wrapText="1"/>
    </xf>
    <xf numFmtId="0" fontId="0" fillId="0" borderId="0" xfId="0" applyAlignment="1">
      <alignment horizontal="center"/>
    </xf>
    <xf numFmtId="0" fontId="71" fillId="0" borderId="0" xfId="0" applyFont="1" applyAlignment="1">
      <alignment vertical="center"/>
    </xf>
    <xf numFmtId="0" fontId="0" fillId="0" borderId="0" xfId="0" applyFill="1" applyAlignment="1">
      <alignment horizontal="center" vertical="center"/>
    </xf>
    <xf numFmtId="0" fontId="0" fillId="0" borderId="51" xfId="0" applyFill="1" applyBorder="1" applyAlignment="1">
      <alignment horizontal="center" vertical="center"/>
    </xf>
    <xf numFmtId="0" fontId="1" fillId="0" borderId="0" xfId="0" applyFont="1" applyAlignment="1">
      <alignment horizontal="left"/>
    </xf>
    <xf numFmtId="0" fontId="23" fillId="0" borderId="52" xfId="0" applyFont="1" applyBorder="1" applyAlignment="1">
      <alignment vertical="center" wrapText="1"/>
    </xf>
    <xf numFmtId="0" fontId="23" fillId="0" borderId="54" xfId="0" applyFont="1" applyBorder="1" applyAlignment="1">
      <alignment vertical="center" wrapText="1"/>
    </xf>
    <xf numFmtId="2" fontId="0" fillId="0" borderId="44" xfId="0" applyNumberFormat="1" applyBorder="1"/>
    <xf numFmtId="2" fontId="0" fillId="0" borderId="98" xfId="0" applyNumberFormat="1" applyBorder="1"/>
    <xf numFmtId="2" fontId="0" fillId="0" borderId="99" xfId="0" applyNumberFormat="1" applyBorder="1"/>
    <xf numFmtId="165" fontId="28" fillId="0" borderId="0" xfId="0" applyNumberFormat="1" applyFont="1"/>
    <xf numFmtId="0" fontId="75" fillId="0" borderId="0" xfId="0" applyFont="1" applyAlignment="1">
      <alignment horizontal="center" vertical="center"/>
    </xf>
    <xf numFmtId="0" fontId="76" fillId="0" borderId="0" xfId="0" applyFont="1"/>
    <xf numFmtId="0" fontId="74" fillId="0" borderId="0" xfId="0" applyFont="1" applyAlignment="1">
      <alignment vertical="center"/>
    </xf>
    <xf numFmtId="0" fontId="74" fillId="0" borderId="0" xfId="0" applyFont="1" applyAlignment="1">
      <alignment horizontal="left" vertical="center" wrapText="1"/>
    </xf>
    <xf numFmtId="0" fontId="0" fillId="0" borderId="0" xfId="0" applyFill="1" applyBorder="1" applyAlignment="1">
      <alignment horizontal="center"/>
    </xf>
    <xf numFmtId="0" fontId="0" fillId="0" borderId="100" xfId="0" applyBorder="1"/>
    <xf numFmtId="0" fontId="28" fillId="0" borderId="0" xfId="0" applyFont="1" applyFill="1" applyBorder="1" applyAlignment="1">
      <alignment vertical="center"/>
    </xf>
    <xf numFmtId="0" fontId="38" fillId="0" borderId="0" xfId="0" applyFont="1"/>
    <xf numFmtId="0" fontId="10" fillId="0" borderId="0" xfId="0" applyFont="1" applyAlignment="1">
      <alignment horizontal="left"/>
    </xf>
    <xf numFmtId="0" fontId="18" fillId="0" borderId="0" xfId="0" applyFont="1" applyAlignment="1">
      <alignment horizontal="center"/>
    </xf>
    <xf numFmtId="0" fontId="29" fillId="0" borderId="0" xfId="0" applyFont="1" applyFill="1" applyBorder="1" applyAlignment="1">
      <alignment vertical="center"/>
    </xf>
    <xf numFmtId="0" fontId="0" fillId="0" borderId="0" xfId="0" applyAlignment="1">
      <alignment horizontal="center"/>
    </xf>
    <xf numFmtId="0" fontId="10" fillId="0" borderId="0" xfId="0" applyFont="1" applyAlignment="1">
      <alignment horizontal="center"/>
    </xf>
    <xf numFmtId="0" fontId="0" fillId="0" borderId="0" xfId="0" applyAlignment="1">
      <alignment horizontal="center" wrapText="1"/>
    </xf>
    <xf numFmtId="0" fontId="18" fillId="0" borderId="0" xfId="0" applyFont="1" applyAlignment="1">
      <alignment horizontal="center"/>
    </xf>
    <xf numFmtId="0" fontId="0" fillId="0" borderId="15" xfId="0" applyBorder="1"/>
    <xf numFmtId="164" fontId="0" fillId="0" borderId="88" xfId="0" applyNumberFormat="1" applyBorder="1"/>
    <xf numFmtId="0" fontId="0" fillId="0" borderId="0" xfId="0" applyAlignment="1">
      <alignment horizontal="center"/>
    </xf>
    <xf numFmtId="0" fontId="10" fillId="0" borderId="0" xfId="0" applyFont="1" applyAlignment="1">
      <alignment horizontal="right"/>
    </xf>
    <xf numFmtId="0" fontId="0" fillId="0" borderId="0" xfId="0" applyBorder="1" applyAlignment="1">
      <alignment horizontal="center"/>
    </xf>
    <xf numFmtId="0" fontId="43" fillId="0" borderId="0" xfId="0" applyFont="1" applyAlignment="1">
      <alignment horizontal="center"/>
    </xf>
    <xf numFmtId="0" fontId="28" fillId="0" borderId="0" xfId="0" applyFont="1" applyAlignment="1">
      <alignment horizontal="right"/>
    </xf>
    <xf numFmtId="1" fontId="22" fillId="0" borderId="0" xfId="0" applyNumberFormat="1" applyFont="1" applyFill="1" applyAlignment="1">
      <alignment horizontal="center" vertical="center"/>
    </xf>
    <xf numFmtId="0" fontId="78" fillId="0" borderId="0" xfId="0" applyFont="1" applyAlignment="1">
      <alignment horizontal="left"/>
    </xf>
    <xf numFmtId="0" fontId="26" fillId="0" borderId="0" xfId="0" applyFont="1" applyFill="1"/>
    <xf numFmtId="2" fontId="0" fillId="0" borderId="11" xfId="0" applyNumberFormat="1" applyBorder="1"/>
    <xf numFmtId="2" fontId="0" fillId="0" borderId="14" xfId="0" applyNumberFormat="1" applyBorder="1"/>
    <xf numFmtId="2" fontId="0" fillId="0" borderId="16" xfId="0" applyNumberFormat="1" applyBorder="1"/>
    <xf numFmtId="0" fontId="0" fillId="0" borderId="101" xfId="0" applyFill="1" applyBorder="1" applyAlignment="1">
      <alignment horizontal="center" vertical="center"/>
    </xf>
    <xf numFmtId="0" fontId="0" fillId="0" borderId="101" xfId="0" applyBorder="1" applyAlignment="1">
      <alignment horizontal="center" vertical="center"/>
    </xf>
    <xf numFmtId="0" fontId="10" fillId="0" borderId="0" xfId="0" applyFont="1" applyBorder="1"/>
    <xf numFmtId="0" fontId="42" fillId="0" borderId="0" xfId="0" applyFont="1" applyBorder="1"/>
    <xf numFmtId="0" fontId="42" fillId="0" borderId="0" xfId="0" applyFont="1" applyFill="1" applyBorder="1"/>
    <xf numFmtId="0" fontId="0" fillId="0" borderId="30" xfId="0" applyBorder="1"/>
    <xf numFmtId="0" fontId="0" fillId="0" borderId="31" xfId="0" applyBorder="1"/>
    <xf numFmtId="165" fontId="28" fillId="0" borderId="0" xfId="0" applyNumberFormat="1" applyFont="1" applyFill="1" applyBorder="1"/>
    <xf numFmtId="0" fontId="10" fillId="0" borderId="102" xfId="0" applyFont="1" applyBorder="1"/>
    <xf numFmtId="2" fontId="0" fillId="0" borderId="103" xfId="0" applyNumberFormat="1" applyBorder="1"/>
    <xf numFmtId="165" fontId="0" fillId="0" borderId="103" xfId="0" applyNumberFormat="1" applyBorder="1"/>
    <xf numFmtId="165" fontId="10" fillId="0" borderId="102" xfId="0" applyNumberFormat="1" applyFont="1" applyBorder="1"/>
    <xf numFmtId="2" fontId="0" fillId="0" borderId="25" xfId="0" applyNumberFormat="1" applyBorder="1"/>
    <xf numFmtId="2" fontId="0" fillId="0" borderId="102" xfId="0" applyNumberFormat="1" applyBorder="1"/>
    <xf numFmtId="165" fontId="42" fillId="0" borderId="12" xfId="0" applyNumberFormat="1" applyFont="1" applyBorder="1"/>
    <xf numFmtId="165" fontId="28" fillId="0" borderId="29" xfId="0" applyNumberFormat="1" applyFont="1" applyBorder="1"/>
    <xf numFmtId="165" fontId="28" fillId="0" borderId="30" xfId="0" applyNumberFormat="1" applyFont="1" applyBorder="1"/>
    <xf numFmtId="165" fontId="28" fillId="0" borderId="30" xfId="0" applyNumberFormat="1" applyFont="1" applyFill="1" applyBorder="1"/>
    <xf numFmtId="165" fontId="28" fillId="0" borderId="31" xfId="0" applyNumberFormat="1" applyFont="1" applyFill="1" applyBorder="1"/>
    <xf numFmtId="0" fontId="28" fillId="0" borderId="29" xfId="0" applyFont="1" applyBorder="1"/>
    <xf numFmtId="0" fontId="28" fillId="0" borderId="30" xfId="0" applyFont="1" applyBorder="1"/>
    <xf numFmtId="0" fontId="28" fillId="0" borderId="31" xfId="0" applyFont="1" applyFill="1" applyBorder="1"/>
    <xf numFmtId="2" fontId="0" fillId="0" borderId="57" xfId="0" applyNumberFormat="1" applyBorder="1"/>
    <xf numFmtId="2" fontId="0" fillId="0" borderId="6" xfId="0" applyNumberFormat="1" applyFill="1" applyBorder="1"/>
    <xf numFmtId="2" fontId="0" fillId="0" borderId="7" xfId="0" applyNumberFormat="1" applyFill="1" applyBorder="1"/>
    <xf numFmtId="164" fontId="10" fillId="0" borderId="0" xfId="0" applyNumberFormat="1" applyFont="1"/>
    <xf numFmtId="0" fontId="0" fillId="0" borderId="101" xfId="0" applyBorder="1" applyAlignment="1">
      <alignment horizontal="center"/>
    </xf>
    <xf numFmtId="0" fontId="0" fillId="0" borderId="27" xfId="0" applyFill="1" applyBorder="1" applyAlignment="1">
      <alignment horizontal="right"/>
    </xf>
    <xf numFmtId="165" fontId="0" fillId="0" borderId="27" xfId="0" applyNumberFormat="1" applyFill="1" applyBorder="1"/>
    <xf numFmtId="0" fontId="0" fillId="0" borderId="27" xfId="0" applyFill="1" applyBorder="1"/>
    <xf numFmtId="1" fontId="0" fillId="0" borderId="27" xfId="0" applyNumberFormat="1" applyFill="1" applyBorder="1"/>
    <xf numFmtId="0" fontId="26" fillId="0" borderId="0" xfId="0" applyFont="1" applyAlignment="1">
      <alignment horizontal="center" wrapText="1"/>
    </xf>
    <xf numFmtId="0" fontId="0" fillId="0" borderId="0" xfId="0" applyAlignment="1"/>
    <xf numFmtId="0" fontId="10" fillId="0" borderId="0" xfId="0" applyFont="1" applyAlignment="1"/>
    <xf numFmtId="3" fontId="25" fillId="0" borderId="83" xfId="0" applyNumberFormat="1" applyFont="1" applyBorder="1"/>
    <xf numFmtId="3" fontId="25" fillId="0" borderId="84" xfId="0" applyNumberFormat="1" applyFont="1" applyBorder="1"/>
    <xf numFmtId="3" fontId="25" fillId="0" borderId="92" xfId="0" applyNumberFormat="1" applyFont="1" applyBorder="1"/>
    <xf numFmtId="3" fontId="25" fillId="0" borderId="93" xfId="0" applyNumberFormat="1" applyFont="1" applyBorder="1"/>
    <xf numFmtId="3" fontId="25" fillId="0" borderId="94" xfId="0" applyNumberFormat="1" applyFont="1" applyBorder="1"/>
    <xf numFmtId="3" fontId="25" fillId="0" borderId="85" xfId="0" applyNumberFormat="1" applyFont="1" applyBorder="1"/>
    <xf numFmtId="3" fontId="25" fillId="0" borderId="32" xfId="0" applyNumberFormat="1" applyFont="1" applyBorder="1"/>
    <xf numFmtId="3" fontId="25" fillId="0" borderId="33" xfId="0" applyNumberFormat="1" applyFont="1" applyBorder="1"/>
    <xf numFmtId="3" fontId="25" fillId="0" borderId="95" xfId="0" applyNumberFormat="1" applyFont="1" applyBorder="1"/>
    <xf numFmtId="3" fontId="25" fillId="0" borderId="97" xfId="0" applyNumberFormat="1" applyFont="1" applyBorder="1"/>
    <xf numFmtId="3" fontId="25" fillId="0" borderId="28" xfId="0" applyNumberFormat="1" applyFont="1" applyBorder="1"/>
    <xf numFmtId="3" fontId="25" fillId="0" borderId="50" xfId="0" applyNumberFormat="1" applyFont="1" applyBorder="1"/>
    <xf numFmtId="3" fontId="25" fillId="0" borderId="56" xfId="0" applyNumberFormat="1" applyFont="1" applyBorder="1"/>
    <xf numFmtId="3" fontId="25" fillId="0" borderId="96" xfId="0" applyNumberFormat="1" applyFont="1" applyBorder="1"/>
    <xf numFmtId="3" fontId="25" fillId="0" borderId="8" xfId="0" applyNumberFormat="1" applyFont="1" applyBorder="1"/>
    <xf numFmtId="3" fontId="25" fillId="0" borderId="9" xfId="0" applyNumberFormat="1" applyFont="1" applyBorder="1"/>
    <xf numFmtId="3" fontId="25" fillId="0" borderId="10" xfId="0" applyNumberFormat="1" applyFont="1" applyBorder="1"/>
    <xf numFmtId="3" fontId="25" fillId="0" borderId="0" xfId="0" applyNumberFormat="1" applyFont="1"/>
    <xf numFmtId="3" fontId="25" fillId="0" borderId="57" xfId="0" applyNumberFormat="1" applyFont="1" applyBorder="1"/>
    <xf numFmtId="1" fontId="61" fillId="27" borderId="60" xfId="0" applyNumberFormat="1" applyFont="1" applyFill="1" applyBorder="1" applyAlignment="1">
      <alignment horizontal="center" vertical="center"/>
    </xf>
    <xf numFmtId="3" fontId="32" fillId="0" borderId="86" xfId="0" applyNumberFormat="1" applyFont="1" applyFill="1" applyBorder="1" applyAlignment="1">
      <alignment horizontal="center" vertical="center" wrapText="1"/>
    </xf>
    <xf numFmtId="3" fontId="32" fillId="22" borderId="58" xfId="0" applyNumberFormat="1" applyFont="1" applyFill="1" applyBorder="1" applyAlignment="1">
      <alignment horizontal="center" vertical="center" wrapText="1"/>
    </xf>
    <xf numFmtId="3" fontId="32" fillId="22" borderId="58" xfId="0" applyNumberFormat="1" applyFont="1" applyFill="1" applyBorder="1" applyAlignment="1">
      <alignment horizontal="center" wrapText="1"/>
    </xf>
    <xf numFmtId="3" fontId="32" fillId="22" borderId="67" xfId="0" applyNumberFormat="1" applyFont="1" applyFill="1" applyBorder="1" applyAlignment="1">
      <alignment horizontal="center" vertical="center" wrapText="1"/>
    </xf>
    <xf numFmtId="3" fontId="32" fillId="22" borderId="67" xfId="0" applyNumberFormat="1" applyFont="1" applyFill="1" applyBorder="1" applyAlignment="1">
      <alignment horizontal="center" wrapText="1"/>
    </xf>
    <xf numFmtId="3" fontId="32" fillId="22" borderId="81" xfId="0" applyNumberFormat="1" applyFont="1" applyFill="1" applyBorder="1" applyAlignment="1">
      <alignment horizontal="center" vertical="center" wrapText="1"/>
    </xf>
    <xf numFmtId="3" fontId="32" fillId="22" borderId="104" xfId="0" applyNumberFormat="1" applyFont="1" applyFill="1" applyBorder="1" applyAlignment="1">
      <alignment horizontal="center" vertical="center" wrapText="1"/>
    </xf>
    <xf numFmtId="3" fontId="32" fillId="22" borderId="104" xfId="0" applyNumberFormat="1" applyFont="1" applyFill="1" applyBorder="1" applyAlignment="1">
      <alignment horizontal="center" wrapText="1"/>
    </xf>
    <xf numFmtId="3" fontId="32" fillId="22" borderId="105" xfId="0" applyNumberFormat="1" applyFont="1" applyFill="1" applyBorder="1" applyAlignment="1">
      <alignment horizontal="center" wrapText="1"/>
    </xf>
    <xf numFmtId="3" fontId="32" fillId="22" borderId="63" xfId="0" applyNumberFormat="1" applyFont="1" applyFill="1" applyBorder="1" applyAlignment="1">
      <alignment horizontal="center" wrapText="1"/>
    </xf>
    <xf numFmtId="3" fontId="32" fillId="22" borderId="63" xfId="0" applyNumberFormat="1" applyFont="1" applyFill="1" applyBorder="1" applyAlignment="1">
      <alignment horizontal="center" vertical="center" wrapText="1"/>
    </xf>
    <xf numFmtId="3" fontId="32" fillId="22" borderId="106" xfId="0" applyNumberFormat="1" applyFont="1" applyFill="1" applyBorder="1" applyAlignment="1">
      <alignment horizontal="center" wrapText="1"/>
    </xf>
    <xf numFmtId="3" fontId="32" fillId="22" borderId="107" xfId="0" applyNumberFormat="1" applyFont="1" applyFill="1" applyBorder="1" applyAlignment="1">
      <alignment horizontal="center" vertical="center" wrapText="1"/>
    </xf>
    <xf numFmtId="3" fontId="32" fillId="22" borderId="107" xfId="0" applyNumberFormat="1" applyFont="1" applyFill="1" applyBorder="1" applyAlignment="1">
      <alignment horizontal="center" wrapText="1"/>
    </xf>
    <xf numFmtId="3" fontId="32" fillId="22" borderId="59" xfId="0" applyNumberFormat="1" applyFont="1" applyFill="1" applyBorder="1" applyAlignment="1">
      <alignment horizontal="center" vertical="center" wrapText="1"/>
    </xf>
    <xf numFmtId="3" fontId="80" fillId="0" borderId="0" xfId="0" applyNumberFormat="1" applyFont="1" applyFill="1" applyBorder="1" applyAlignment="1">
      <alignment horizontal="center"/>
    </xf>
    <xf numFmtId="3" fontId="33" fillId="21" borderId="27" xfId="0" applyNumberFormat="1" applyFont="1" applyFill="1" applyBorder="1"/>
    <xf numFmtId="3" fontId="31" fillId="0" borderId="27" xfId="0" applyNumberFormat="1" applyFont="1" applyBorder="1"/>
    <xf numFmtId="3" fontId="31" fillId="0" borderId="27" xfId="0" applyNumberFormat="1" applyFont="1" applyFill="1" applyBorder="1"/>
    <xf numFmtId="3" fontId="31" fillId="0" borderId="27" xfId="0" applyNumberFormat="1" applyFont="1" applyBorder="1" applyAlignment="1">
      <alignment horizontal="right"/>
    </xf>
    <xf numFmtId="3" fontId="45" fillId="21" borderId="27" xfId="0" applyNumberFormat="1" applyFont="1" applyFill="1" applyBorder="1" applyAlignment="1">
      <alignment horizontal="right"/>
    </xf>
    <xf numFmtId="3" fontId="31" fillId="0" borderId="27" xfId="0" applyNumberFormat="1" applyFont="1" applyFill="1" applyBorder="1" applyAlignment="1">
      <alignment horizontal="right"/>
    </xf>
    <xf numFmtId="3" fontId="0" fillId="0" borderId="27" xfId="0" applyNumberFormat="1" applyBorder="1" applyAlignment="1">
      <alignment horizontal="center" vertical="center"/>
    </xf>
    <xf numFmtId="3" fontId="0" fillId="0" borderId="27" xfId="1" applyNumberFormat="1" applyFont="1" applyBorder="1" applyAlignment="1">
      <alignment horizontal="center" vertical="center"/>
    </xf>
    <xf numFmtId="3" fontId="0" fillId="0" borderId="27" xfId="2" applyNumberFormat="1" applyFont="1" applyBorder="1" applyAlignment="1">
      <alignment horizontal="center" vertical="center"/>
    </xf>
    <xf numFmtId="3" fontId="81" fillId="0" borderId="27" xfId="0" applyNumberFormat="1" applyFont="1" applyBorder="1" applyAlignment="1">
      <alignment horizontal="center" vertical="center" wrapText="1"/>
    </xf>
    <xf numFmtId="1" fontId="0" fillId="0" borderId="0" xfId="0" applyNumberFormat="1" applyFont="1" applyAlignment="1">
      <alignment horizontal="center" vertical="center"/>
    </xf>
    <xf numFmtId="3" fontId="81" fillId="0" borderId="0" xfId="0" applyNumberFormat="1" applyFont="1" applyAlignment="1">
      <alignment horizontal="center" vertical="center" wrapText="1"/>
    </xf>
    <xf numFmtId="0" fontId="12" fillId="4" borderId="27" xfId="0" applyFont="1" applyFill="1" applyBorder="1" applyAlignment="1">
      <alignment vertical="center" wrapText="1"/>
    </xf>
    <xf numFmtId="0" fontId="12" fillId="23" borderId="27" xfId="0" applyFont="1" applyFill="1" applyBorder="1" applyAlignment="1">
      <alignment vertical="center" wrapText="1"/>
    </xf>
    <xf numFmtId="0" fontId="12" fillId="25" borderId="27" xfId="0" applyFont="1" applyFill="1" applyBorder="1" applyAlignment="1">
      <alignment vertical="center" wrapText="1"/>
    </xf>
    <xf numFmtId="0" fontId="12" fillId="6" borderId="27" xfId="0" applyFont="1" applyFill="1" applyBorder="1" applyAlignment="1">
      <alignment vertical="center" wrapText="1"/>
    </xf>
    <xf numFmtId="0" fontId="12" fillId="7" borderId="27" xfId="0" applyFont="1" applyFill="1" applyBorder="1" applyAlignment="1">
      <alignment vertical="center" wrapText="1"/>
    </xf>
    <xf numFmtId="0" fontId="12" fillId="8" borderId="27" xfId="0" applyFont="1" applyFill="1" applyBorder="1" applyAlignment="1">
      <alignment vertical="center" wrapText="1"/>
    </xf>
    <xf numFmtId="3" fontId="28" fillId="0" borderId="0" xfId="0" applyNumberFormat="1" applyFont="1"/>
    <xf numFmtId="167" fontId="0" fillId="0" borderId="0" xfId="2" applyNumberFormat="1" applyFont="1"/>
    <xf numFmtId="0" fontId="0" fillId="0" borderId="27" xfId="0" applyBorder="1" applyAlignment="1">
      <alignment horizontal="left"/>
    </xf>
    <xf numFmtId="0" fontId="16" fillId="25" borderId="27" xfId="0" applyFont="1" applyFill="1" applyBorder="1"/>
    <xf numFmtId="3" fontId="81" fillId="0" borderId="27" xfId="0" applyNumberFormat="1" applyFont="1" applyBorder="1" applyAlignment="1">
      <alignment horizontal="right" vertical="center" wrapText="1"/>
    </xf>
    <xf numFmtId="0" fontId="12" fillId="0" borderId="0" xfId="0" applyFont="1" applyFill="1" applyBorder="1" applyAlignment="1">
      <alignment vertical="center" wrapText="1"/>
    </xf>
    <xf numFmtId="3" fontId="0" fillId="0" borderId="0" xfId="1" applyNumberFormat="1" applyFont="1" applyFill="1" applyBorder="1" applyAlignment="1">
      <alignment horizontal="center" vertical="center"/>
    </xf>
    <xf numFmtId="3" fontId="81" fillId="0" borderId="0"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10" fontId="0" fillId="0" borderId="0" xfId="0" applyNumberFormat="1"/>
    <xf numFmtId="166" fontId="0" fillId="0" borderId="27" xfId="0" applyNumberFormat="1" applyFont="1" applyBorder="1"/>
    <xf numFmtId="168" fontId="0" fillId="0" borderId="0" xfId="1" applyNumberFormat="1" applyFont="1"/>
    <xf numFmtId="3" fontId="32" fillId="27" borderId="0" xfId="0" applyNumberFormat="1" applyFont="1" applyFill="1" applyAlignment="1">
      <alignment horizontal="center" vertical="center" wrapText="1"/>
    </xf>
    <xf numFmtId="3" fontId="32" fillId="27" borderId="0" xfId="0" applyNumberFormat="1" applyFont="1" applyFill="1" applyAlignment="1">
      <alignment horizontal="center" wrapText="1"/>
    </xf>
    <xf numFmtId="1" fontId="81" fillId="0" borderId="0" xfId="0" applyNumberFormat="1" applyFont="1" applyAlignment="1">
      <alignment horizontal="center" vertical="center" wrapText="1"/>
    </xf>
    <xf numFmtId="3" fontId="26" fillId="0" borderId="0" xfId="0" applyNumberFormat="1" applyFont="1"/>
    <xf numFmtId="167" fontId="0" fillId="0" borderId="0" xfId="0" applyNumberFormat="1"/>
    <xf numFmtId="3" fontId="0" fillId="27" borderId="0" xfId="0" applyNumberFormat="1" applyFill="1"/>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center"/>
    </xf>
    <xf numFmtId="0" fontId="0" fillId="0" borderId="0" xfId="0" applyFont="1" applyAlignment="1">
      <alignment horizontal="left" vertical="center" wrapText="1"/>
    </xf>
    <xf numFmtId="0" fontId="1" fillId="0" borderId="0" xfId="0" applyFont="1" applyAlignment="1">
      <alignment horizontal="center"/>
    </xf>
    <xf numFmtId="0" fontId="10" fillId="0" borderId="0" xfId="0" applyFont="1" applyAlignment="1">
      <alignment horizontal="left" wrapText="1"/>
    </xf>
    <xf numFmtId="0" fontId="74" fillId="0" borderId="0" xfId="0" applyFont="1" applyAlignment="1">
      <alignment horizontal="left" wrapText="1"/>
    </xf>
    <xf numFmtId="0" fontId="10" fillId="0" borderId="0" xfId="0" applyFont="1" applyAlignment="1">
      <alignment horizontal="right"/>
    </xf>
    <xf numFmtId="0" fontId="10" fillId="0" borderId="0" xfId="0" applyFont="1" applyAlignment="1">
      <alignment horizontal="left"/>
    </xf>
    <xf numFmtId="0" fontId="0" fillId="0" borderId="0" xfId="0" applyAlignment="1">
      <alignment horizontal="center" wrapText="1"/>
    </xf>
    <xf numFmtId="2" fontId="0" fillId="0" borderId="0" xfId="0" applyNumberFormat="1" applyAlignment="1">
      <alignment horizontal="center" wrapText="1"/>
    </xf>
    <xf numFmtId="0" fontId="0" fillId="0" borderId="0" xfId="0" applyBorder="1" applyAlignment="1">
      <alignment horizontal="center"/>
    </xf>
    <xf numFmtId="0" fontId="10" fillId="0" borderId="0" xfId="0" applyFont="1" applyAlignment="1">
      <alignment horizontal="center"/>
    </xf>
    <xf numFmtId="0" fontId="18" fillId="0" borderId="0" xfId="0" applyFont="1" applyAlignment="1">
      <alignment horizontal="center"/>
    </xf>
    <xf numFmtId="0" fontId="26" fillId="0" borderId="0" xfId="0" applyFont="1" applyAlignment="1">
      <alignment horizontal="left" vertical="top" wrapText="1"/>
    </xf>
    <xf numFmtId="0" fontId="47" fillId="16" borderId="52" xfId="0" applyFont="1" applyFill="1" applyBorder="1" applyAlignment="1">
      <alignment horizontal="center" vertical="center" wrapText="1"/>
    </xf>
    <xf numFmtId="0" fontId="47" fillId="16" borderId="3" xfId="0" applyFont="1" applyFill="1" applyBorder="1" applyAlignment="1">
      <alignment horizontal="center" vertical="center" wrapText="1"/>
    </xf>
    <xf numFmtId="0" fontId="10" fillId="0" borderId="0" xfId="0" applyFont="1" applyAlignment="1">
      <alignment horizontal="center" wrapText="1"/>
    </xf>
    <xf numFmtId="0" fontId="43" fillId="0" borderId="0" xfId="0" applyFont="1" applyAlignment="1">
      <alignment horizontal="center"/>
    </xf>
    <xf numFmtId="0" fontId="1" fillId="0" borderId="0" xfId="0" applyFont="1" applyAlignment="1">
      <alignment horizontal="left"/>
    </xf>
    <xf numFmtId="0" fontId="47" fillId="16" borderId="54" xfId="0" applyFont="1" applyFill="1" applyBorder="1" applyAlignment="1">
      <alignment horizontal="center" vertical="center" wrapText="1"/>
    </xf>
    <xf numFmtId="0" fontId="47" fillId="16" borderId="2" xfId="0" applyFont="1" applyFill="1" applyBorder="1" applyAlignment="1">
      <alignment horizontal="center" vertical="center" wrapText="1"/>
    </xf>
    <xf numFmtId="0" fontId="0" fillId="31" borderId="55" xfId="0" applyFill="1" applyBorder="1" applyAlignment="1">
      <alignment horizontal="center"/>
    </xf>
    <xf numFmtId="0" fontId="0" fillId="30" borderId="55" xfId="0" applyFill="1" applyBorder="1" applyAlignment="1">
      <alignment horizontal="center"/>
    </xf>
    <xf numFmtId="0" fontId="74" fillId="0" borderId="0" xfId="0" applyFont="1" applyAlignment="1">
      <alignment horizontal="left" vertical="center" wrapText="1"/>
    </xf>
    <xf numFmtId="0" fontId="0" fillId="32" borderId="32" xfId="0" applyFill="1" applyBorder="1" applyAlignment="1">
      <alignment horizontal="center"/>
    </xf>
    <xf numFmtId="0" fontId="0" fillId="32" borderId="82" xfId="0" applyFill="1" applyBorder="1" applyAlignment="1">
      <alignment horizontal="center"/>
    </xf>
    <xf numFmtId="0" fontId="0" fillId="32" borderId="27" xfId="0" applyFill="1" applyBorder="1" applyAlignment="1">
      <alignment horizontal="center" wrapText="1"/>
    </xf>
    <xf numFmtId="0" fontId="0" fillId="32" borderId="28" xfId="0" applyFill="1" applyBorder="1" applyAlignment="1">
      <alignment horizontal="center" wrapText="1"/>
    </xf>
    <xf numFmtId="0" fontId="0" fillId="32" borderId="27" xfId="0" applyFill="1" applyBorder="1" applyAlignment="1">
      <alignment horizontal="center" vertical="center" wrapText="1"/>
    </xf>
    <xf numFmtId="0" fontId="0" fillId="32" borderId="28" xfId="0"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3300"/>
      <color rgb="FFFFCCFF"/>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GHG Balance for Forests and Trees </a:t>
            </a:r>
          </a:p>
        </c:rich>
      </c:tx>
      <c:layout>
        <c:manualLayout>
          <c:xMode val="edge"/>
          <c:yMode val="edge"/>
          <c:x val="0.2029581993569132"/>
          <c:y val="2.14669051878354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467234539536102"/>
          <c:y val="0.33121321820461175"/>
          <c:w val="0.78629088603759378"/>
          <c:h val="0.61833053963066786"/>
        </c:manualLayout>
      </c:layout>
      <c:barChart>
        <c:barDir val="col"/>
        <c:grouping val="clustered"/>
        <c:varyColors val="0"/>
        <c:ser>
          <c:idx val="0"/>
          <c:order val="0"/>
          <c:spPr>
            <a:solidFill>
              <a:schemeClr val="accent1"/>
            </a:solidFill>
            <a:ln>
              <a:noFill/>
            </a:ln>
            <a:effectLst/>
          </c:spPr>
          <c:invertIfNegative val="0"/>
          <c:cat>
            <c:strRef>
              <c:f>'7. Summary'!$M$112:$M$122</c:f>
              <c:strCache>
                <c:ptCount val="11"/>
                <c:pt idx="0">
                  <c:v>F→F undisturbed</c:v>
                </c:pt>
                <c:pt idx="1">
                  <c:v>NF→F</c:v>
                </c:pt>
                <c:pt idx="2">
                  <c:v>HWP</c:v>
                </c:pt>
                <c:pt idx="3">
                  <c:v>TOF gain</c:v>
                </c:pt>
                <c:pt idx="4">
                  <c:v>F→F harvested</c:v>
                </c:pt>
                <c:pt idx="5">
                  <c:v>F→F disturbed</c:v>
                </c:pt>
                <c:pt idx="6">
                  <c:v>F→grass</c:v>
                </c:pt>
                <c:pt idx="7">
                  <c:v>F→settlement</c:v>
                </c:pt>
                <c:pt idx="8">
                  <c:v>F→other NF</c:v>
                </c:pt>
                <c:pt idx="9">
                  <c:v>TOF loss</c:v>
                </c:pt>
                <c:pt idx="10">
                  <c:v>non-CO2 gas</c:v>
                </c:pt>
              </c:strCache>
            </c:strRef>
          </c:cat>
          <c:val>
            <c:numRef>
              <c:f>'7. Summary'!$N$112:$N$122</c:f>
              <c:numCache>
                <c:formatCode>#,##0</c:formatCode>
                <c:ptCount val="11"/>
                <c:pt idx="0">
                  <c:v>-278491.16652124608</c:v>
                </c:pt>
                <c:pt idx="1">
                  <c:v>-3635.288300034937</c:v>
                </c:pt>
                <c:pt idx="2">
                  <c:v>0</c:v>
                </c:pt>
                <c:pt idx="3">
                  <c:v>-382643.11357800005</c:v>
                </c:pt>
                <c:pt idx="4">
                  <c:v>0</c:v>
                </c:pt>
                <c:pt idx="5">
                  <c:v>0</c:v>
                </c:pt>
                <c:pt idx="6">
                  <c:v>11447.72565585027</c:v>
                </c:pt>
                <c:pt idx="7">
                  <c:v>16371.158904284903</c:v>
                </c:pt>
                <c:pt idx="8">
                  <c:v>1402.3864075752897</c:v>
                </c:pt>
                <c:pt idx="9">
                  <c:v>135789.67267659248</c:v>
                </c:pt>
                <c:pt idx="10">
                  <c:v>0</c:v>
                </c:pt>
              </c:numCache>
            </c:numRef>
          </c:val>
          <c:extLst>
            <c:ext xmlns:c16="http://schemas.microsoft.com/office/drawing/2014/chart" uri="{C3380CC4-5D6E-409C-BE32-E72D297353CC}">
              <c16:uniqueId val="{00000000-163B-4797-AD7D-C7466302ABA4}"/>
            </c:ext>
          </c:extLst>
        </c:ser>
        <c:dLbls>
          <c:showLegendKey val="0"/>
          <c:showVal val="0"/>
          <c:showCatName val="0"/>
          <c:showSerName val="0"/>
          <c:showPercent val="0"/>
          <c:showBubbleSize val="0"/>
        </c:dLbls>
        <c:gapWidth val="182"/>
        <c:axId val="574672584"/>
        <c:axId val="574676192"/>
      </c:barChart>
      <c:catAx>
        <c:axId val="57467258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74676192"/>
        <c:crosses val="autoZero"/>
        <c:auto val="1"/>
        <c:lblAlgn val="ctr"/>
        <c:lblOffset val="50"/>
        <c:noMultiLvlLbl val="0"/>
      </c:catAx>
      <c:valAx>
        <c:axId val="574676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CO2e per 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746725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B68E-4BCD-9DEA-7581537AB993}"/>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B68E-4BCD-9DEA-7581537AB993}"/>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B68E-4BCD-9DEA-7581537AB993}"/>
              </c:ext>
            </c:extLst>
          </c:dPt>
          <c:dPt>
            <c:idx val="3"/>
            <c:bubble3D val="0"/>
            <c:spPr>
              <a:solidFill>
                <a:schemeClr val="accent5"/>
              </a:solidFill>
              <a:ln w="19050">
                <a:solidFill>
                  <a:schemeClr val="lt1"/>
                </a:solidFill>
              </a:ln>
              <a:effectLst/>
            </c:spPr>
            <c:extLst>
              <c:ext xmlns:c16="http://schemas.microsoft.com/office/drawing/2014/chart" uri="{C3380CC4-5D6E-409C-BE32-E72D297353CC}">
                <c16:uniqueId val="{00000007-B68E-4BCD-9DEA-7581537AB993}"/>
              </c:ext>
            </c:extLst>
          </c:dPt>
          <c:dPt>
            <c:idx val="4"/>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9-B68E-4BCD-9DEA-7581537AB99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 Summary'!$J$16:$J$20</c:f>
              <c:strCache>
                <c:ptCount val="5"/>
                <c:pt idx="0">
                  <c:v>Forest land</c:v>
                </c:pt>
                <c:pt idx="1">
                  <c:v>Grassland</c:v>
                </c:pt>
                <c:pt idx="2">
                  <c:v>Cropland</c:v>
                </c:pt>
                <c:pt idx="3">
                  <c:v>Wetland</c:v>
                </c:pt>
                <c:pt idx="4">
                  <c:v>Settlement</c:v>
                </c:pt>
              </c:strCache>
            </c:strRef>
          </c:cat>
          <c:val>
            <c:numRef>
              <c:f>'7. Summary'!$K$16:$K$20</c:f>
              <c:numCache>
                <c:formatCode>#,##0</c:formatCode>
                <c:ptCount val="5"/>
                <c:pt idx="0">
                  <c:v>44220.085410843887</c:v>
                </c:pt>
                <c:pt idx="1">
                  <c:v>21996.399883913062</c:v>
                </c:pt>
                <c:pt idx="2">
                  <c:v>10691.531184182688</c:v>
                </c:pt>
                <c:pt idx="3">
                  <c:v>3021.1315488379532</c:v>
                </c:pt>
                <c:pt idx="4">
                  <c:v>51120.071389808538</c:v>
                </c:pt>
              </c:numCache>
            </c:numRef>
          </c:val>
          <c:extLst>
            <c:ext xmlns:c16="http://schemas.microsoft.com/office/drawing/2014/chart" uri="{C3380CC4-5D6E-409C-BE32-E72D297353CC}">
              <c16:uniqueId val="{0000000A-B68E-4BCD-9DEA-7581537AB993}"/>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'7. Summary'!$J$27:$J$30</c:f>
              <c:strCache>
                <c:ptCount val="4"/>
                <c:pt idx="0">
                  <c:v>Forest to grass</c:v>
                </c:pt>
                <c:pt idx="1">
                  <c:v>Forest to wetland</c:v>
                </c:pt>
                <c:pt idx="2">
                  <c:v>Forest to settlement</c:v>
                </c:pt>
                <c:pt idx="3">
                  <c:v>Forest to cropland</c:v>
                </c:pt>
              </c:strCache>
            </c:strRef>
          </c:cat>
          <c:val>
            <c:numRef>
              <c:f>'7. Summary'!$K$27:$K$30</c:f>
              <c:numCache>
                <c:formatCode>#,##0</c:formatCode>
                <c:ptCount val="4"/>
                <c:pt idx="0">
                  <c:v>-127.9373786252321</c:v>
                </c:pt>
                <c:pt idx="1">
                  <c:v>-46.534465490737603</c:v>
                </c:pt>
                <c:pt idx="2">
                  <c:v>155.54341403209824</c:v>
                </c:pt>
                <c:pt idx="3">
                  <c:v>2.2168610839879901</c:v>
                </c:pt>
              </c:numCache>
            </c:numRef>
          </c:val>
          <c:extLst>
            <c:ext xmlns:c16="http://schemas.microsoft.com/office/drawing/2014/chart" uri="{C3380CC4-5D6E-409C-BE32-E72D297353CC}">
              <c16:uniqueId val="{00000000-DA00-4E8A-A43B-03134CD038DB}"/>
            </c:ext>
          </c:extLst>
        </c:ser>
        <c:dLbls>
          <c:showLegendKey val="0"/>
          <c:showVal val="0"/>
          <c:showCatName val="0"/>
          <c:showSerName val="0"/>
          <c:showPercent val="0"/>
          <c:showBubbleSize val="0"/>
        </c:dLbls>
        <c:gapWidth val="219"/>
        <c:overlap val="-27"/>
        <c:axId val="1165566063"/>
        <c:axId val="1306806879"/>
      </c:barChart>
      <c:catAx>
        <c:axId val="116556606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6806879"/>
        <c:crosses val="autoZero"/>
        <c:auto val="1"/>
        <c:lblAlgn val="ctr"/>
        <c:lblOffset val="100"/>
        <c:noMultiLvlLbl val="0"/>
      </c:catAx>
      <c:valAx>
        <c:axId val="1306806879"/>
        <c:scaling>
          <c:orientation val="minMax"/>
          <c:max val="500"/>
          <c:min val="-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55660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Tree canopy loss</c:v>
          </c:tx>
          <c:spPr>
            <a:solidFill>
              <a:schemeClr val="accent1"/>
            </a:solidFill>
            <a:ln>
              <a:noFill/>
            </a:ln>
            <a:effectLst/>
          </c:spPr>
          <c:invertIfNegative val="0"/>
          <c:cat>
            <c:strRef>
              <c:f>'7. Summary'!$A$50:$A$54</c:f>
              <c:strCache>
                <c:ptCount val="5"/>
                <c:pt idx="0">
                  <c:v>Grassland</c:v>
                </c:pt>
                <c:pt idx="1">
                  <c:v>Cropland</c:v>
                </c:pt>
                <c:pt idx="2">
                  <c:v>Wetland</c:v>
                </c:pt>
                <c:pt idx="3">
                  <c:v>Settlement</c:v>
                </c:pt>
                <c:pt idx="4">
                  <c:v>Other land</c:v>
                </c:pt>
              </c:strCache>
            </c:strRef>
          </c:cat>
          <c:val>
            <c:numRef>
              <c:f>'7. Summary'!$H$50:$H$54</c:f>
              <c:numCache>
                <c:formatCode>#,##0</c:formatCode>
                <c:ptCount val="5"/>
                <c:pt idx="0">
                  <c:v>276.2466</c:v>
                </c:pt>
                <c:pt idx="1">
                  <c:v>35.170299999999997</c:v>
                </c:pt>
                <c:pt idx="2">
                  <c:v>22.982699999999998</c:v>
                </c:pt>
                <c:pt idx="3">
                  <c:v>1460.8146045444728</c:v>
                </c:pt>
                <c:pt idx="4">
                  <c:v>2.5308000000000002</c:v>
                </c:pt>
              </c:numCache>
            </c:numRef>
          </c:val>
          <c:extLst>
            <c:ext xmlns:c16="http://schemas.microsoft.com/office/drawing/2014/chart" uri="{C3380CC4-5D6E-409C-BE32-E72D297353CC}">
              <c16:uniqueId val="{00000000-54B1-487F-AE1C-9C6359ABD72F}"/>
            </c:ext>
          </c:extLst>
        </c:ser>
        <c:dLbls>
          <c:showLegendKey val="0"/>
          <c:showVal val="0"/>
          <c:showCatName val="0"/>
          <c:showSerName val="0"/>
          <c:showPercent val="0"/>
          <c:showBubbleSize val="0"/>
        </c:dLbls>
        <c:gapWidth val="219"/>
        <c:overlap val="-27"/>
        <c:axId val="753485887"/>
        <c:axId val="569457071"/>
      </c:barChart>
      <c:catAx>
        <c:axId val="753485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457071"/>
        <c:crosses val="autoZero"/>
        <c:auto val="1"/>
        <c:lblAlgn val="ctr"/>
        <c:lblOffset val="100"/>
        <c:noMultiLvlLbl val="0"/>
      </c:catAx>
      <c:valAx>
        <c:axId val="5694570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348588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91522868152126E-2"/>
          <c:y val="5.0925925925925923E-2"/>
          <c:w val="0.8961723069190819"/>
          <c:h val="0.78688023586092837"/>
        </c:manualLayout>
      </c:layout>
      <c:barChart>
        <c:barDir val="col"/>
        <c:grouping val="clustered"/>
        <c:varyColors val="0"/>
        <c:ser>
          <c:idx val="0"/>
          <c:order val="0"/>
          <c:spPr>
            <a:solidFill>
              <a:schemeClr val="accent1"/>
            </a:solidFill>
            <a:ln>
              <a:noFill/>
            </a:ln>
            <a:effectLst/>
          </c:spPr>
          <c:invertIfNegative val="0"/>
          <c:cat>
            <c:strRef>
              <c:f>'7. Summary'!$J$62:$J$65</c:f>
              <c:strCache>
                <c:ptCount val="4"/>
                <c:pt idx="0">
                  <c:v>Other federal</c:v>
                </c:pt>
                <c:pt idx="1">
                  <c:v>State and local</c:v>
                </c:pt>
                <c:pt idx="2">
                  <c:v>Private</c:v>
                </c:pt>
                <c:pt idx="3">
                  <c:v>Trees outside forests</c:v>
                </c:pt>
              </c:strCache>
            </c:strRef>
          </c:cat>
          <c:val>
            <c:numRef>
              <c:f>'7. Summary'!$K$62:$K$65</c:f>
              <c:numCache>
                <c:formatCode>0.00</c:formatCode>
                <c:ptCount val="4"/>
                <c:pt idx="0">
                  <c:v>3.49452629</c:v>
                </c:pt>
                <c:pt idx="1">
                  <c:v>17.379905229999999</c:v>
                </c:pt>
                <c:pt idx="2">
                  <c:v>9.36167455</c:v>
                </c:pt>
                <c:pt idx="3">
                  <c:v>11.257093043616001</c:v>
                </c:pt>
              </c:numCache>
            </c:numRef>
          </c:val>
          <c:extLst>
            <c:ext xmlns:c16="http://schemas.microsoft.com/office/drawing/2014/chart" uri="{C3380CC4-5D6E-409C-BE32-E72D297353CC}">
              <c16:uniqueId val="{00000000-6D12-48E8-BE79-AEDC97C07F38}"/>
            </c:ext>
          </c:extLst>
        </c:ser>
        <c:dLbls>
          <c:showLegendKey val="0"/>
          <c:showVal val="0"/>
          <c:showCatName val="0"/>
          <c:showSerName val="0"/>
          <c:showPercent val="0"/>
          <c:showBubbleSize val="0"/>
        </c:dLbls>
        <c:gapWidth val="219"/>
        <c:overlap val="-27"/>
        <c:axId val="568896335"/>
        <c:axId val="416869551"/>
      </c:barChart>
      <c:catAx>
        <c:axId val="568896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6869551"/>
        <c:crosses val="autoZero"/>
        <c:auto val="1"/>
        <c:lblAlgn val="ctr"/>
        <c:lblOffset val="100"/>
        <c:noMultiLvlLbl val="0"/>
      </c:catAx>
      <c:valAx>
        <c:axId val="416869551"/>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8963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'7. Summary'!$B$133</c:f>
              <c:strCache>
                <c:ptCount val="1"/>
                <c:pt idx="0">
                  <c:v>Removals</c:v>
                </c:pt>
              </c:strCache>
            </c:strRef>
          </c:tx>
          <c:spPr>
            <a:solidFill>
              <a:srgbClr val="00B050"/>
            </a:solidFill>
            <a:ln>
              <a:noFill/>
            </a:ln>
            <a:effectLst/>
          </c:spPr>
          <c:invertIfNegative val="0"/>
          <c:cat>
            <c:strRef>
              <c:f>'7. Summary'!$A$134:$A$139</c:f>
              <c:strCache>
                <c:ptCount val="6"/>
                <c:pt idx="0">
                  <c:v>Forest → Forest</c:v>
                </c:pt>
                <c:pt idx="1">
                  <c:v>Non-forest → Forest</c:v>
                </c:pt>
                <c:pt idx="2">
                  <c:v>Forest → Settlement</c:v>
                </c:pt>
                <c:pt idx="3">
                  <c:v>Forest → Grassland</c:v>
                </c:pt>
                <c:pt idx="4">
                  <c:v>Forest → other non-forest lands</c:v>
                </c:pt>
                <c:pt idx="5">
                  <c:v>Trees outside forest</c:v>
                </c:pt>
              </c:strCache>
            </c:strRef>
          </c:cat>
          <c:val>
            <c:numRef>
              <c:f>'7. Summary'!$B$134:$B$139</c:f>
              <c:numCache>
                <c:formatCode>#,##0</c:formatCode>
                <c:ptCount val="6"/>
                <c:pt idx="0">
                  <c:v>-278491.16652124608</c:v>
                </c:pt>
                <c:pt idx="1">
                  <c:v>-3635.288300034937</c:v>
                </c:pt>
                <c:pt idx="5">
                  <c:v>-382643.11357800005</c:v>
                </c:pt>
              </c:numCache>
            </c:numRef>
          </c:val>
          <c:extLst>
            <c:ext xmlns:c16="http://schemas.microsoft.com/office/drawing/2014/chart" uri="{C3380CC4-5D6E-409C-BE32-E72D297353CC}">
              <c16:uniqueId val="{00000002-E71B-4599-813B-1005704BB7AB}"/>
            </c:ext>
          </c:extLst>
        </c:ser>
        <c:ser>
          <c:idx val="1"/>
          <c:order val="1"/>
          <c:tx>
            <c:strRef>
              <c:f>'7. Summary'!$C$133</c:f>
              <c:strCache>
                <c:ptCount val="1"/>
                <c:pt idx="0">
                  <c:v>Emissions</c:v>
                </c:pt>
              </c:strCache>
            </c:strRef>
          </c:tx>
          <c:spPr>
            <a:solidFill>
              <a:schemeClr val="accent2"/>
            </a:solidFill>
            <a:ln>
              <a:noFill/>
            </a:ln>
            <a:effectLst/>
          </c:spPr>
          <c:invertIfNegative val="0"/>
          <c:cat>
            <c:strRef>
              <c:f>'7. Summary'!$A$134:$A$139</c:f>
              <c:strCache>
                <c:ptCount val="6"/>
                <c:pt idx="0">
                  <c:v>Forest → Forest</c:v>
                </c:pt>
                <c:pt idx="1">
                  <c:v>Non-forest → Forest</c:v>
                </c:pt>
                <c:pt idx="2">
                  <c:v>Forest → Settlement</c:v>
                </c:pt>
                <c:pt idx="3">
                  <c:v>Forest → Grassland</c:v>
                </c:pt>
                <c:pt idx="4">
                  <c:v>Forest → other non-forest lands</c:v>
                </c:pt>
                <c:pt idx="5">
                  <c:v>Trees outside forest</c:v>
                </c:pt>
              </c:strCache>
            </c:strRef>
          </c:cat>
          <c:val>
            <c:numRef>
              <c:f>'7. Summary'!$C$134:$C$139</c:f>
              <c:numCache>
                <c:formatCode>General</c:formatCode>
                <c:ptCount val="6"/>
                <c:pt idx="2" formatCode="#,##0">
                  <c:v>16371.158904284903</c:v>
                </c:pt>
                <c:pt idx="3" formatCode="#,##0">
                  <c:v>11447.72565585027</c:v>
                </c:pt>
                <c:pt idx="4" formatCode="#,##0">
                  <c:v>1402.3864075752897</c:v>
                </c:pt>
                <c:pt idx="5" formatCode="_(* #,##0_);_(* \(#,##0\);_(* &quot;-&quot;??_);_(@_)">
                  <c:v>135789.67267659248</c:v>
                </c:pt>
              </c:numCache>
            </c:numRef>
          </c:val>
          <c:extLst>
            <c:ext xmlns:c16="http://schemas.microsoft.com/office/drawing/2014/chart" uri="{C3380CC4-5D6E-409C-BE32-E72D297353CC}">
              <c16:uniqueId val="{00000003-E71B-4599-813B-1005704BB7AB}"/>
            </c:ext>
          </c:extLst>
        </c:ser>
        <c:dLbls>
          <c:showLegendKey val="0"/>
          <c:showVal val="0"/>
          <c:showCatName val="0"/>
          <c:showSerName val="0"/>
          <c:showPercent val="0"/>
          <c:showBubbleSize val="0"/>
        </c:dLbls>
        <c:gapWidth val="150"/>
        <c:overlap val="100"/>
        <c:axId val="689140639"/>
        <c:axId val="773362175"/>
      </c:barChart>
      <c:catAx>
        <c:axId val="689140639"/>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362175"/>
        <c:crosses val="autoZero"/>
        <c:auto val="1"/>
        <c:lblAlgn val="ctr"/>
        <c:lblOffset val="100"/>
        <c:noMultiLvlLbl val="0"/>
      </c:catAx>
      <c:valAx>
        <c:axId val="7733621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1406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 Summary'!$M$46</c:f>
              <c:strCache>
                <c:ptCount val="1"/>
                <c:pt idx="0">
                  <c:v>Average tree cover</c:v>
                </c:pt>
              </c:strCache>
            </c:strRef>
          </c:tx>
          <c:spPr>
            <a:solidFill>
              <a:srgbClr val="00B050"/>
            </a:solidFill>
            <a:ln>
              <a:noFill/>
            </a:ln>
            <a:effectLst/>
          </c:spPr>
          <c:invertIfNegative val="0"/>
          <c:cat>
            <c:strRef>
              <c:f>'7. Summary'!$L$47:$L$50</c:f>
              <c:strCache>
                <c:ptCount val="4"/>
                <c:pt idx="0">
                  <c:v>Grassland</c:v>
                </c:pt>
                <c:pt idx="1">
                  <c:v>Cropland</c:v>
                </c:pt>
                <c:pt idx="2">
                  <c:v>Wetland</c:v>
                </c:pt>
                <c:pt idx="3">
                  <c:v>Settlement</c:v>
                </c:pt>
              </c:strCache>
            </c:strRef>
          </c:cat>
          <c:val>
            <c:numRef>
              <c:f>'7. Summary'!$M$47:$M$50</c:f>
              <c:numCache>
                <c:formatCode>#,##0</c:formatCode>
                <c:ptCount val="4"/>
                <c:pt idx="0">
                  <c:v>4933.3958500000008</c:v>
                </c:pt>
                <c:pt idx="1">
                  <c:v>863.0594000000001</c:v>
                </c:pt>
                <c:pt idx="2">
                  <c:v>344.59334999999999</c:v>
                </c:pt>
                <c:pt idx="3">
                  <c:v>23503.780350000001</c:v>
                </c:pt>
              </c:numCache>
            </c:numRef>
          </c:val>
          <c:extLst>
            <c:ext xmlns:c16="http://schemas.microsoft.com/office/drawing/2014/chart" uri="{C3380CC4-5D6E-409C-BE32-E72D297353CC}">
              <c16:uniqueId val="{00000000-E2FA-4435-9780-3D3B313902BC}"/>
            </c:ext>
          </c:extLst>
        </c:ser>
        <c:dLbls>
          <c:showLegendKey val="0"/>
          <c:showVal val="0"/>
          <c:showCatName val="0"/>
          <c:showSerName val="0"/>
          <c:showPercent val="0"/>
          <c:showBubbleSize val="0"/>
        </c:dLbls>
        <c:gapWidth val="219"/>
        <c:overlap val="-27"/>
        <c:axId val="552359912"/>
        <c:axId val="552362208"/>
      </c:barChart>
      <c:lineChart>
        <c:grouping val="standard"/>
        <c:varyColors val="0"/>
        <c:ser>
          <c:idx val="1"/>
          <c:order val="1"/>
          <c:tx>
            <c:strRef>
              <c:f>'7. Summary'!$N$46</c:f>
              <c:strCache>
                <c:ptCount val="1"/>
                <c:pt idx="0">
                  <c:v>Tree cover (%)</c:v>
                </c:pt>
              </c:strCache>
            </c:strRef>
          </c:tx>
          <c:spPr>
            <a:ln w="28575" cap="rnd">
              <a:noFill/>
              <a:round/>
            </a:ln>
            <a:effectLst/>
          </c:spPr>
          <c:marker>
            <c:symbol val="circle"/>
            <c:size val="5"/>
            <c:spPr>
              <a:solidFill>
                <a:schemeClr val="accent2"/>
              </a:solidFill>
              <a:ln w="9525">
                <a:solidFill>
                  <a:schemeClr val="accent2"/>
                </a:solidFill>
              </a:ln>
              <a:effectLst/>
            </c:spPr>
          </c:marker>
          <c:cat>
            <c:strRef>
              <c:f>'7. Summary'!$L$47:$L$50</c:f>
              <c:strCache>
                <c:ptCount val="4"/>
                <c:pt idx="0">
                  <c:v>Grassland</c:v>
                </c:pt>
                <c:pt idx="1">
                  <c:v>Cropland</c:v>
                </c:pt>
                <c:pt idx="2">
                  <c:v>Wetland</c:v>
                </c:pt>
                <c:pt idx="3">
                  <c:v>Settlement</c:v>
                </c:pt>
              </c:strCache>
            </c:strRef>
          </c:cat>
          <c:val>
            <c:numRef>
              <c:f>'7. Summary'!$N$47:$N$50</c:f>
              <c:numCache>
                <c:formatCode>0.0%</c:formatCode>
                <c:ptCount val="4"/>
                <c:pt idx="0">
                  <c:v>0.22428196777819132</c:v>
                </c:pt>
                <c:pt idx="1">
                  <c:v>8.0723648010009197E-2</c:v>
                </c:pt>
                <c:pt idx="2">
                  <c:v>0.11406102131916243</c:v>
                </c:pt>
                <c:pt idx="3">
                  <c:v>0.4597759688318</c:v>
                </c:pt>
              </c:numCache>
            </c:numRef>
          </c:val>
          <c:smooth val="0"/>
          <c:extLst>
            <c:ext xmlns:c16="http://schemas.microsoft.com/office/drawing/2014/chart" uri="{C3380CC4-5D6E-409C-BE32-E72D297353CC}">
              <c16:uniqueId val="{00000001-E2FA-4435-9780-3D3B313902BC}"/>
            </c:ext>
          </c:extLst>
        </c:ser>
        <c:dLbls>
          <c:showLegendKey val="0"/>
          <c:showVal val="0"/>
          <c:showCatName val="0"/>
          <c:showSerName val="0"/>
          <c:showPercent val="0"/>
          <c:showBubbleSize val="0"/>
        </c:dLbls>
        <c:marker val="1"/>
        <c:smooth val="0"/>
        <c:axId val="463868640"/>
        <c:axId val="463859784"/>
      </c:lineChart>
      <c:catAx>
        <c:axId val="552359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362208"/>
        <c:crosses val="autoZero"/>
        <c:auto val="1"/>
        <c:lblAlgn val="ctr"/>
        <c:lblOffset val="100"/>
        <c:noMultiLvlLbl val="0"/>
      </c:catAx>
      <c:valAx>
        <c:axId val="552362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2359912"/>
        <c:crosses val="autoZero"/>
        <c:crossBetween val="between"/>
      </c:valAx>
      <c:valAx>
        <c:axId val="463859784"/>
        <c:scaling>
          <c:orientation val="minMax"/>
          <c:max val="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868640"/>
        <c:crosses val="max"/>
        <c:crossBetween val="between"/>
      </c:valAx>
      <c:catAx>
        <c:axId val="463868640"/>
        <c:scaling>
          <c:orientation val="minMax"/>
        </c:scaling>
        <c:delete val="1"/>
        <c:axPos val="b"/>
        <c:numFmt formatCode="General" sourceLinked="1"/>
        <c:majorTickMark val="out"/>
        <c:minorTickMark val="none"/>
        <c:tickLblPos val="nextTo"/>
        <c:crossAx val="4638597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13</xdr:col>
      <xdr:colOff>376555</xdr:colOff>
      <xdr:row>9</xdr:row>
      <xdr:rowOff>2358</xdr:rowOff>
    </xdr:to>
    <xdr:pic>
      <xdr:nvPicPr>
        <xdr:cNvPr id="3" name="Picture 2">
          <a:extLst>
            <a:ext uri="{FF2B5EF4-FFF2-40B4-BE49-F238E27FC236}">
              <a16:creationId xmlns:a16="http://schemas.microsoft.com/office/drawing/2014/main" id="{C40E9FAF-25D6-4215-ACE6-6DB9C10E62D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0714" y="1660071"/>
          <a:ext cx="4567555" cy="42024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708024</xdr:colOff>
      <xdr:row>110</xdr:row>
      <xdr:rowOff>19050</xdr:rowOff>
    </xdr:from>
    <xdr:to>
      <xdr:col>10</xdr:col>
      <xdr:colOff>444500</xdr:colOff>
      <xdr:row>121</xdr:row>
      <xdr:rowOff>323850</xdr:rowOff>
    </xdr:to>
    <xdr:graphicFrame macro="">
      <xdr:nvGraphicFramePr>
        <xdr:cNvPr id="3" name="Chart 2">
          <a:extLst>
            <a:ext uri="{FF2B5EF4-FFF2-40B4-BE49-F238E27FC236}">
              <a16:creationId xmlns:a16="http://schemas.microsoft.com/office/drawing/2014/main" id="{92C9FD11-DAF4-4FE5-B829-46FD472ECE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304800</xdr:colOff>
      <xdr:row>10</xdr:row>
      <xdr:rowOff>180974</xdr:rowOff>
    </xdr:from>
    <xdr:to>
      <xdr:col>19</xdr:col>
      <xdr:colOff>95249</xdr:colOff>
      <xdr:row>22</xdr:row>
      <xdr:rowOff>152399</xdr:rowOff>
    </xdr:to>
    <xdr:graphicFrame macro="">
      <xdr:nvGraphicFramePr>
        <xdr:cNvPr id="8" name="Chart 7">
          <a:extLst>
            <a:ext uri="{FF2B5EF4-FFF2-40B4-BE49-F238E27FC236}">
              <a16:creationId xmlns:a16="http://schemas.microsoft.com/office/drawing/2014/main" id="{EF73374A-DBAE-4050-90DE-9B470DD43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28575</xdr:colOff>
      <xdr:row>23</xdr:row>
      <xdr:rowOff>180975</xdr:rowOff>
    </xdr:from>
    <xdr:to>
      <xdr:col>19</xdr:col>
      <xdr:colOff>438150</xdr:colOff>
      <xdr:row>34</xdr:row>
      <xdr:rowOff>104775</xdr:rowOff>
    </xdr:to>
    <xdr:graphicFrame macro="">
      <xdr:nvGraphicFramePr>
        <xdr:cNvPr id="9" name="Chart 8">
          <a:extLst>
            <a:ext uri="{FF2B5EF4-FFF2-40B4-BE49-F238E27FC236}">
              <a16:creationId xmlns:a16="http://schemas.microsoft.com/office/drawing/2014/main" id="{33C314AC-6DBE-4555-84D1-44806B742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19050</xdr:colOff>
      <xdr:row>41</xdr:row>
      <xdr:rowOff>6350</xdr:rowOff>
    </xdr:from>
    <xdr:to>
      <xdr:col>28</xdr:col>
      <xdr:colOff>584200</xdr:colOff>
      <xdr:row>54</xdr:row>
      <xdr:rowOff>12700</xdr:rowOff>
    </xdr:to>
    <xdr:graphicFrame macro="">
      <xdr:nvGraphicFramePr>
        <xdr:cNvPr id="7" name="Chart 6">
          <a:extLst>
            <a:ext uri="{FF2B5EF4-FFF2-40B4-BE49-F238E27FC236}">
              <a16:creationId xmlns:a16="http://schemas.microsoft.com/office/drawing/2014/main" id="{C0AF1149-0947-4593-BD9F-4C1096C54C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384175</xdr:colOff>
      <xdr:row>57</xdr:row>
      <xdr:rowOff>73025</xdr:rowOff>
    </xdr:from>
    <xdr:to>
      <xdr:col>19</xdr:col>
      <xdr:colOff>558800</xdr:colOff>
      <xdr:row>70</xdr:row>
      <xdr:rowOff>111125</xdr:rowOff>
    </xdr:to>
    <xdr:graphicFrame macro="">
      <xdr:nvGraphicFramePr>
        <xdr:cNvPr id="10" name="Chart 9">
          <a:extLst>
            <a:ext uri="{FF2B5EF4-FFF2-40B4-BE49-F238E27FC236}">
              <a16:creationId xmlns:a16="http://schemas.microsoft.com/office/drawing/2014/main" id="{9229B0EB-116B-42A1-BD71-A7A8372ED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131</xdr:row>
      <xdr:rowOff>0</xdr:rowOff>
    </xdr:from>
    <xdr:to>
      <xdr:col>11</xdr:col>
      <xdr:colOff>190500</xdr:colOff>
      <xdr:row>150</xdr:row>
      <xdr:rowOff>66675</xdr:rowOff>
    </xdr:to>
    <xdr:graphicFrame macro="">
      <xdr:nvGraphicFramePr>
        <xdr:cNvPr id="11" name="Chart 10">
          <a:extLst>
            <a:ext uri="{FF2B5EF4-FFF2-40B4-BE49-F238E27FC236}">
              <a16:creationId xmlns:a16="http://schemas.microsoft.com/office/drawing/2014/main" id="{12B2AC55-1578-47C4-AB25-ADD824EDC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479425</xdr:colOff>
      <xdr:row>37</xdr:row>
      <xdr:rowOff>184151</xdr:rowOff>
    </xdr:from>
    <xdr:to>
      <xdr:col>21</xdr:col>
      <xdr:colOff>215900</xdr:colOff>
      <xdr:row>48</xdr:row>
      <xdr:rowOff>88901</xdr:rowOff>
    </xdr:to>
    <xdr:graphicFrame macro="">
      <xdr:nvGraphicFramePr>
        <xdr:cNvPr id="4" name="Chart 3">
          <a:extLst>
            <a:ext uri="{FF2B5EF4-FFF2-40B4-BE49-F238E27FC236}">
              <a16:creationId xmlns:a16="http://schemas.microsoft.com/office/drawing/2014/main" id="{33A7AA0E-613D-4361-87B6-5AD2E95D77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7B0D9-3623-4A5E-B13E-0E58A0F54E7F}">
  <dimension ref="A1:L34"/>
  <sheetViews>
    <sheetView topLeftCell="A13" zoomScaleNormal="100" workbookViewId="0">
      <selection activeCell="A9" sqref="A9:G9"/>
    </sheetView>
  </sheetViews>
  <sheetFormatPr defaultRowHeight="14.5" x14ac:dyDescent="0.35"/>
  <cols>
    <col min="1" max="1" width="18" customWidth="1"/>
    <col min="2" max="2" width="12.7265625" customWidth="1"/>
    <col min="3" max="3" width="12.81640625" customWidth="1"/>
    <col min="4" max="4" width="11.7265625" customWidth="1"/>
    <col min="5" max="6" width="12.453125" customWidth="1"/>
    <col min="7" max="8" width="12" customWidth="1"/>
    <col min="9" max="9" width="13.1796875" customWidth="1"/>
  </cols>
  <sheetData>
    <row r="1" spans="1:12" ht="18.5" x14ac:dyDescent="0.45">
      <c r="A1" s="64" t="s">
        <v>248</v>
      </c>
      <c r="J1" t="s">
        <v>624</v>
      </c>
    </row>
    <row r="3" spans="1:12" ht="18.5" x14ac:dyDescent="0.45">
      <c r="A3" s="64" t="s">
        <v>482</v>
      </c>
      <c r="F3" s="64" t="s">
        <v>483</v>
      </c>
      <c r="I3" s="64" t="s">
        <v>627</v>
      </c>
    </row>
    <row r="5" spans="1:12" x14ac:dyDescent="0.35">
      <c r="A5" s="185" t="s">
        <v>391</v>
      </c>
    </row>
    <row r="7" spans="1:12" x14ac:dyDescent="0.35">
      <c r="A7" s="2" t="s">
        <v>0</v>
      </c>
    </row>
    <row r="8" spans="1:12" ht="15.65" customHeight="1" x14ac:dyDescent="0.35">
      <c r="A8" s="2"/>
    </row>
    <row r="9" spans="1:12" ht="331" customHeight="1" x14ac:dyDescent="0.35">
      <c r="A9" s="618" t="s">
        <v>388</v>
      </c>
      <c r="B9" s="618"/>
      <c r="C9" s="618"/>
      <c r="D9" s="618"/>
      <c r="E9" s="618"/>
      <c r="F9" s="618"/>
      <c r="G9" s="618"/>
      <c r="H9" s="619"/>
      <c r="I9" s="619"/>
      <c r="J9" s="619"/>
      <c r="K9" s="619"/>
      <c r="L9" s="619"/>
    </row>
    <row r="11" spans="1:12" x14ac:dyDescent="0.35">
      <c r="A11" s="2" t="s">
        <v>2</v>
      </c>
      <c r="B11" s="56"/>
    </row>
    <row r="13" spans="1:12" ht="18.5" x14ac:dyDescent="0.35">
      <c r="A13" s="473" t="s">
        <v>389</v>
      </c>
    </row>
    <row r="14" spans="1:12" ht="18.5" x14ac:dyDescent="0.35">
      <c r="A14" s="473"/>
    </row>
    <row r="15" spans="1:12" ht="18.5" x14ac:dyDescent="0.35">
      <c r="A15" s="473" t="s">
        <v>390</v>
      </c>
    </row>
    <row r="18" spans="1:7" x14ac:dyDescent="0.35">
      <c r="A18" s="2" t="s">
        <v>3</v>
      </c>
    </row>
    <row r="20" spans="1:7" x14ac:dyDescent="0.35">
      <c r="A20" t="s">
        <v>172</v>
      </c>
    </row>
    <row r="21" spans="1:7" ht="15" thickBot="1" x14ac:dyDescent="0.4"/>
    <row r="22" spans="1:7" ht="15" thickTop="1" x14ac:dyDescent="0.35">
      <c r="A22" s="5" t="s">
        <v>174</v>
      </c>
      <c r="B22" s="3">
        <v>2011</v>
      </c>
      <c r="D22" s="82"/>
    </row>
    <row r="23" spans="1:7" ht="15" thickBot="1" x14ac:dyDescent="0.4">
      <c r="A23" s="5" t="s">
        <v>175</v>
      </c>
      <c r="B23" s="4">
        <v>2016</v>
      </c>
      <c r="D23" s="82"/>
    </row>
    <row r="24" spans="1:7" ht="15" thickTop="1" x14ac:dyDescent="0.35"/>
    <row r="26" spans="1:7" ht="35.5" customHeight="1" x14ac:dyDescent="0.35">
      <c r="A26" s="617" t="s">
        <v>244</v>
      </c>
      <c r="B26" s="617"/>
      <c r="C26" s="617"/>
      <c r="D26" s="617"/>
      <c r="E26" s="617"/>
      <c r="F26" s="617"/>
      <c r="G26" s="617"/>
    </row>
    <row r="28" spans="1:7" x14ac:dyDescent="0.35">
      <c r="A28" s="361"/>
      <c r="B28" s="362" t="s">
        <v>4</v>
      </c>
      <c r="C28" s="362" t="s">
        <v>5</v>
      </c>
      <c r="D28" s="362" t="s">
        <v>6</v>
      </c>
      <c r="E28" s="362" t="s">
        <v>7</v>
      </c>
      <c r="F28" s="362" t="s">
        <v>8</v>
      </c>
      <c r="G28" s="362" t="s">
        <v>9</v>
      </c>
    </row>
    <row r="29" spans="1:7" ht="39" x14ac:dyDescent="0.35">
      <c r="A29" s="362" t="s">
        <v>4</v>
      </c>
      <c r="B29" s="363" t="s">
        <v>10</v>
      </c>
      <c r="C29" s="364" t="s">
        <v>11</v>
      </c>
      <c r="D29" s="364" t="s">
        <v>12</v>
      </c>
      <c r="E29" s="364" t="s">
        <v>13</v>
      </c>
      <c r="F29" s="364" t="s">
        <v>14</v>
      </c>
      <c r="G29" s="364" t="s">
        <v>15</v>
      </c>
    </row>
    <row r="30" spans="1:7" ht="39" x14ac:dyDescent="0.35">
      <c r="A30" s="362" t="s">
        <v>5</v>
      </c>
      <c r="B30" s="365" t="s">
        <v>16</v>
      </c>
      <c r="C30" s="366" t="s">
        <v>17</v>
      </c>
      <c r="D30" s="366" t="s">
        <v>18</v>
      </c>
      <c r="E30" s="366" t="s">
        <v>19</v>
      </c>
      <c r="F30" s="366" t="s">
        <v>20</v>
      </c>
      <c r="G30" s="366" t="s">
        <v>21</v>
      </c>
    </row>
    <row r="31" spans="1:7" ht="39" x14ac:dyDescent="0.35">
      <c r="A31" s="362" t="s">
        <v>6</v>
      </c>
      <c r="B31" s="365" t="s">
        <v>22</v>
      </c>
      <c r="C31" s="366" t="s">
        <v>23</v>
      </c>
      <c r="D31" s="366" t="s">
        <v>24</v>
      </c>
      <c r="E31" s="366" t="s">
        <v>25</v>
      </c>
      <c r="F31" s="366" t="s">
        <v>26</v>
      </c>
      <c r="G31" s="366" t="s">
        <v>27</v>
      </c>
    </row>
    <row r="32" spans="1:7" ht="39" x14ac:dyDescent="0.35">
      <c r="A32" s="362" t="s">
        <v>7</v>
      </c>
      <c r="B32" s="365" t="s">
        <v>28</v>
      </c>
      <c r="C32" s="366" t="s">
        <v>29</v>
      </c>
      <c r="D32" s="366" t="s">
        <v>30</v>
      </c>
      <c r="E32" s="366" t="s">
        <v>31</v>
      </c>
      <c r="F32" s="366" t="s">
        <v>32</v>
      </c>
      <c r="G32" s="366" t="s">
        <v>33</v>
      </c>
    </row>
    <row r="33" spans="1:7" ht="39" x14ac:dyDescent="0.35">
      <c r="A33" s="362" t="s">
        <v>8</v>
      </c>
      <c r="B33" s="365" t="s">
        <v>34</v>
      </c>
      <c r="C33" s="366" t="s">
        <v>35</v>
      </c>
      <c r="D33" s="366" t="s">
        <v>36</v>
      </c>
      <c r="E33" s="366" t="s">
        <v>37</v>
      </c>
      <c r="F33" s="366" t="s">
        <v>38</v>
      </c>
      <c r="G33" s="366" t="s">
        <v>39</v>
      </c>
    </row>
    <row r="34" spans="1:7" ht="39" x14ac:dyDescent="0.35">
      <c r="A34" s="362" t="s">
        <v>9</v>
      </c>
      <c r="B34" s="365" t="s">
        <v>40</v>
      </c>
      <c r="C34" s="366" t="s">
        <v>41</v>
      </c>
      <c r="D34" s="366" t="s">
        <v>42</v>
      </c>
      <c r="E34" s="366" t="s">
        <v>43</v>
      </c>
      <c r="F34" s="366" t="s">
        <v>44</v>
      </c>
      <c r="G34" s="366" t="s">
        <v>45</v>
      </c>
    </row>
  </sheetData>
  <mergeCells count="3">
    <mergeCell ref="A26:G26"/>
    <mergeCell ref="A9:G9"/>
    <mergeCell ref="H9:L9"/>
  </mergeCell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0BB27-5C01-4997-816D-E26F6C7DAD9D}">
  <dimension ref="A1:H49"/>
  <sheetViews>
    <sheetView topLeftCell="A25" workbookViewId="0">
      <selection activeCell="F42" sqref="F42"/>
    </sheetView>
  </sheetViews>
  <sheetFormatPr defaultRowHeight="14.5" x14ac:dyDescent="0.35"/>
  <cols>
    <col min="1" max="1" width="21.1796875" customWidth="1"/>
    <col min="2" max="2" width="10.1796875" customWidth="1"/>
    <col min="3" max="3" width="10.7265625" customWidth="1"/>
    <col min="4" max="4" width="11.26953125" customWidth="1"/>
    <col min="5" max="5" width="9.81640625" customWidth="1"/>
    <col min="6" max="6" width="11.453125" customWidth="1"/>
    <col min="7" max="7" width="10.453125" customWidth="1"/>
  </cols>
  <sheetData>
    <row r="1" spans="1:8" ht="18.5" x14ac:dyDescent="0.45">
      <c r="A1" s="1" t="s">
        <v>248</v>
      </c>
    </row>
    <row r="3" spans="1:8" x14ac:dyDescent="0.35">
      <c r="A3" s="185" t="s">
        <v>397</v>
      </c>
    </row>
    <row r="4" spans="1:8" x14ac:dyDescent="0.35">
      <c r="A4" s="13" t="s">
        <v>467</v>
      </c>
    </row>
    <row r="5" spans="1:8" ht="31.5" customHeight="1" x14ac:dyDescent="0.35">
      <c r="A5" s="622" t="s">
        <v>468</v>
      </c>
      <c r="B5" s="622"/>
      <c r="C5" s="622"/>
      <c r="D5" s="622"/>
      <c r="E5" s="622"/>
      <c r="F5" s="622"/>
      <c r="G5" s="622"/>
    </row>
    <row r="7" spans="1:8" ht="16.5" x14ac:dyDescent="0.35">
      <c r="A7" s="8" t="s">
        <v>46</v>
      </c>
    </row>
    <row r="9" spans="1:8" ht="15.5" x14ac:dyDescent="0.35">
      <c r="A9" s="201" t="s">
        <v>335</v>
      </c>
    </row>
    <row r="11" spans="1:8" x14ac:dyDescent="0.35">
      <c r="A11" s="2" t="s">
        <v>469</v>
      </c>
    </row>
    <row r="13" spans="1:8" ht="31" x14ac:dyDescent="0.35">
      <c r="A13" s="12"/>
      <c r="B13" s="443" t="s">
        <v>340</v>
      </c>
      <c r="C13" s="443" t="s">
        <v>341</v>
      </c>
      <c r="D13" s="443" t="s">
        <v>347</v>
      </c>
      <c r="E13" s="443" t="s">
        <v>342</v>
      </c>
      <c r="F13" s="443" t="s">
        <v>355</v>
      </c>
      <c r="G13" s="443" t="s">
        <v>343</v>
      </c>
      <c r="H13" s="12"/>
    </row>
    <row r="14" spans="1:8" ht="27.65" customHeight="1" x14ac:dyDescent="0.35">
      <c r="A14" s="12"/>
      <c r="B14" s="444" t="s">
        <v>346</v>
      </c>
      <c r="C14" s="444" t="s">
        <v>344</v>
      </c>
      <c r="D14" s="12"/>
      <c r="E14" s="12"/>
      <c r="F14" s="12"/>
      <c r="G14" s="444" t="s">
        <v>345</v>
      </c>
      <c r="H14" s="12"/>
    </row>
    <row r="15" spans="1:8" x14ac:dyDescent="0.35">
      <c r="A15" t="s">
        <v>338</v>
      </c>
      <c r="B15" s="39">
        <f>'2a. Forest AD'!C53</f>
        <v>0</v>
      </c>
      <c r="C15" s="406">
        <f>'3a. Forest EF_RF'!C402+('3a. Forest EF_RF'!C401/15)</f>
        <v>28.36070466666667</v>
      </c>
      <c r="D15" s="81">
        <f>D21</f>
        <v>0.40571254150155295</v>
      </c>
      <c r="E15">
        <v>4.7</v>
      </c>
      <c r="F15">
        <v>2.5000000000000001E-2</v>
      </c>
      <c r="G15" s="39">
        <f>B15*C15*D15*E15*F15</f>
        <v>0</v>
      </c>
    </row>
    <row r="16" spans="1:8" ht="15" thickBot="1" x14ac:dyDescent="0.4">
      <c r="A16" s="234" t="s">
        <v>339</v>
      </c>
      <c r="B16" s="241">
        <f>'2a. Forest AD'!C53</f>
        <v>0</v>
      </c>
      <c r="C16" s="445">
        <f>'3a. Forest EF_RF'!C402+('3a. Forest EF_RF'!C401/15)</f>
        <v>28.36070466666667</v>
      </c>
      <c r="D16" s="447">
        <f>D21</f>
        <v>0.40571254150155295</v>
      </c>
      <c r="E16" s="234">
        <v>0.26</v>
      </c>
      <c r="F16" s="234">
        <v>0.29799999999999999</v>
      </c>
      <c r="G16" s="41">
        <f>B16*C16*D16*E16*F16</f>
        <v>0</v>
      </c>
    </row>
    <row r="17" spans="1:8" ht="17.5" thickTop="1" thickBot="1" x14ac:dyDescent="0.4">
      <c r="A17" t="s">
        <v>348</v>
      </c>
      <c r="G17" s="448">
        <f>G15+G16</f>
        <v>0</v>
      </c>
      <c r="H17" t="s">
        <v>352</v>
      </c>
    </row>
    <row r="18" spans="1:8" ht="15.5" thickTop="1" thickBot="1" x14ac:dyDescent="0.4">
      <c r="G18" s="448">
        <f>G17/(Intro!B23-Intro!B22)</f>
        <v>0</v>
      </c>
      <c r="H18" t="s">
        <v>353</v>
      </c>
    </row>
    <row r="19" spans="1:8" ht="15" thickTop="1" x14ac:dyDescent="0.35">
      <c r="A19" s="2" t="s">
        <v>551</v>
      </c>
    </row>
    <row r="20" spans="1:8" ht="15" thickBot="1" x14ac:dyDescent="0.4">
      <c r="B20" s="13" t="s">
        <v>349</v>
      </c>
      <c r="C20" s="442" t="s">
        <v>351</v>
      </c>
      <c r="D20" s="441" t="s">
        <v>350</v>
      </c>
    </row>
    <row r="21" spans="1:8" ht="15.5" thickTop="1" thickBot="1" x14ac:dyDescent="0.4">
      <c r="A21" s="5" t="s">
        <v>552</v>
      </c>
      <c r="B21" s="52">
        <v>0.59</v>
      </c>
      <c r="C21" s="39">
        <f>'3a. Forest EF_RF'!E376</f>
        <v>100</v>
      </c>
      <c r="D21" s="533">
        <f>(B21*C21+B22*C22+B23*C23+B24*C24+B25*C25+B25*C26+B27*C27)/C28</f>
        <v>0.40571254150155295</v>
      </c>
    </row>
    <row r="22" spans="1:8" ht="15" thickTop="1" x14ac:dyDescent="0.35">
      <c r="A22" s="5" t="s">
        <v>553</v>
      </c>
      <c r="B22" s="53">
        <v>0.35</v>
      </c>
      <c r="C22" s="39">
        <f>'3a. Forest EF_RF'!E374</f>
        <v>6803.643724696356</v>
      </c>
    </row>
    <row r="23" spans="1:8" x14ac:dyDescent="0.35">
      <c r="A23" s="5" t="s">
        <v>554</v>
      </c>
      <c r="B23" s="53">
        <v>0.44</v>
      </c>
      <c r="C23" s="39">
        <f>'3a. Forest EF_RF'!E375</f>
        <v>100</v>
      </c>
    </row>
    <row r="24" spans="1:8" x14ac:dyDescent="0.35">
      <c r="A24" s="5" t="s">
        <v>555</v>
      </c>
      <c r="B24" s="53">
        <v>0.41</v>
      </c>
      <c r="C24" s="41">
        <f>'3a. Forest EF_RF'!E372</f>
        <v>27243.724696356272</v>
      </c>
    </row>
    <row r="25" spans="1:8" x14ac:dyDescent="0.35">
      <c r="A25" s="5" t="s">
        <v>556</v>
      </c>
      <c r="B25" s="534">
        <v>0.5</v>
      </c>
      <c r="C25" s="39">
        <f>'3a. Forest EF_RF'!E371</f>
        <v>100</v>
      </c>
    </row>
    <row r="26" spans="1:8" x14ac:dyDescent="0.35">
      <c r="A26" s="5" t="s">
        <v>557</v>
      </c>
      <c r="B26" s="534">
        <v>0.69</v>
      </c>
      <c r="C26" s="39">
        <f>'3a. Forest EF_RF'!E370</f>
        <v>2725.5060728744938</v>
      </c>
    </row>
    <row r="27" spans="1:8" ht="15" thickBot="1" x14ac:dyDescent="0.4">
      <c r="A27" s="5" t="s">
        <v>558</v>
      </c>
      <c r="B27" s="535">
        <v>0.37</v>
      </c>
      <c r="C27" s="446">
        <f>'3a. Forest EF_RF'!E368</f>
        <v>728.74493927125502</v>
      </c>
    </row>
    <row r="28" spans="1:8" ht="15" thickTop="1" x14ac:dyDescent="0.35">
      <c r="C28" s="39">
        <f>SUM(C21:C27)</f>
        <v>37801.619433198372</v>
      </c>
    </row>
    <row r="30" spans="1:8" ht="15.5" x14ac:dyDescent="0.35">
      <c r="A30" s="201" t="s">
        <v>336</v>
      </c>
    </row>
    <row r="32" spans="1:8" x14ac:dyDescent="0.35">
      <c r="A32" t="s">
        <v>337</v>
      </c>
    </row>
    <row r="35" spans="1:6" ht="15.5" x14ac:dyDescent="0.35">
      <c r="A35" s="201" t="s">
        <v>470</v>
      </c>
    </row>
    <row r="36" spans="1:6" x14ac:dyDescent="0.35">
      <c r="B36" s="13" t="s">
        <v>349</v>
      </c>
    </row>
    <row r="37" spans="1:6" ht="29.5" thickBot="1" x14ac:dyDescent="0.4">
      <c r="A37" s="82"/>
      <c r="B37" s="12" t="s">
        <v>356</v>
      </c>
      <c r="C37" s="12" t="s">
        <v>357</v>
      </c>
      <c r="D37" s="12" t="s">
        <v>358</v>
      </c>
      <c r="E37" s="12" t="s">
        <v>359</v>
      </c>
      <c r="F37" s="12" t="s">
        <v>77</v>
      </c>
    </row>
    <row r="38" spans="1:6" ht="15" thickTop="1" x14ac:dyDescent="0.35">
      <c r="A38" t="s">
        <v>360</v>
      </c>
      <c r="B38" s="42">
        <v>0</v>
      </c>
      <c r="C38" s="43">
        <v>952187</v>
      </c>
      <c r="D38" s="43">
        <v>4735669</v>
      </c>
      <c r="E38" s="43">
        <v>2550865</v>
      </c>
      <c r="F38" s="44">
        <f>SUM(B38:E38)</f>
        <v>8238721</v>
      </c>
    </row>
    <row r="39" spans="1:6" ht="15" thickBot="1" x14ac:dyDescent="0.4">
      <c r="A39" t="s">
        <v>361</v>
      </c>
      <c r="B39" s="47">
        <v>0</v>
      </c>
      <c r="C39" s="48">
        <v>2874</v>
      </c>
      <c r="D39" s="48">
        <v>21162</v>
      </c>
      <c r="E39" s="48">
        <v>16625</v>
      </c>
      <c r="F39" s="49">
        <f>SUM(B39:E39)</f>
        <v>40661</v>
      </c>
    </row>
    <row r="40" spans="1:6" ht="15" thickTop="1" x14ac:dyDescent="0.35">
      <c r="A40" t="s">
        <v>362</v>
      </c>
      <c r="B40" s="406">
        <f>IF(B39=0,0,B38/B39)</f>
        <v>0</v>
      </c>
      <c r="C40" s="406">
        <f>IF(C39=0,0,C38/C39)</f>
        <v>331.31071677105081</v>
      </c>
      <c r="D40" s="406">
        <f>IF(D39=0,0,D38/D39)</f>
        <v>223.78173140534921</v>
      </c>
      <c r="E40" s="406">
        <f>IF(E39=0,0,E38/E39)</f>
        <v>153.43548872180452</v>
      </c>
      <c r="F40" s="406">
        <f>IF(F39=0,0,F38/F39)</f>
        <v>202.61973389734635</v>
      </c>
    </row>
    <row r="43" spans="1:6" ht="15.5" x14ac:dyDescent="0.35">
      <c r="A43" s="201" t="s">
        <v>471</v>
      </c>
    </row>
    <row r="45" spans="1:6" ht="15" thickBot="1" x14ac:dyDescent="0.4">
      <c r="B45" s="12" t="s">
        <v>77</v>
      </c>
    </row>
    <row r="46" spans="1:6" ht="15" thickTop="1" x14ac:dyDescent="0.35">
      <c r="A46" t="s">
        <v>363</v>
      </c>
      <c r="B46" s="451">
        <f>B47*B48</f>
        <v>3067327.8048</v>
      </c>
      <c r="C46" s="11"/>
      <c r="D46" s="11"/>
      <c r="E46" s="11"/>
      <c r="F46" s="11"/>
    </row>
    <row r="47" spans="1:6" x14ac:dyDescent="0.35">
      <c r="A47" t="s">
        <v>364</v>
      </c>
      <c r="B47" s="449">
        <f>SUM('2b. TOF AD'!H80:H84)</f>
        <v>29779.881600000001</v>
      </c>
      <c r="C47" s="11" t="s">
        <v>587</v>
      </c>
      <c r="D47" s="11"/>
      <c r="E47" s="11"/>
      <c r="F47" s="11"/>
    </row>
    <row r="48" spans="1:6" ht="15" thickBot="1" x14ac:dyDescent="0.4">
      <c r="A48" t="s">
        <v>362</v>
      </c>
      <c r="B48" s="450">
        <f>'3b. TOF EF_RF'!B71</f>
        <v>103</v>
      </c>
    </row>
    <row r="49" ht="15" thickTop="1" x14ac:dyDescent="0.35"/>
  </sheetData>
  <mergeCells count="1">
    <mergeCell ref="A5:G5"/>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5AC9C-475B-4E4A-BA99-925D59C0577C}">
  <dimension ref="A1:K323"/>
  <sheetViews>
    <sheetView topLeftCell="A23" workbookViewId="0">
      <selection activeCell="B39" sqref="B39"/>
    </sheetView>
  </sheetViews>
  <sheetFormatPr defaultRowHeight="14.5" x14ac:dyDescent="0.35"/>
  <cols>
    <col min="1" max="1" width="26.81640625" customWidth="1"/>
    <col min="2" max="2" width="17.54296875" customWidth="1"/>
    <col min="3" max="3" width="16.453125" customWidth="1"/>
    <col min="4" max="4" width="15" customWidth="1"/>
    <col min="5" max="5" width="14.54296875" customWidth="1"/>
    <col min="6" max="6" width="14.26953125" customWidth="1"/>
    <col min="7" max="7" width="15.26953125" customWidth="1"/>
    <col min="8" max="8" width="15.54296875" customWidth="1"/>
    <col min="9" max="9" width="14.81640625" customWidth="1"/>
    <col min="10" max="10" width="14.54296875" customWidth="1"/>
    <col min="11" max="11" width="14" customWidth="1"/>
  </cols>
  <sheetData>
    <row r="1" spans="1:1" ht="18.5" x14ac:dyDescent="0.45">
      <c r="A1" s="1" t="s">
        <v>248</v>
      </c>
    </row>
    <row r="3" spans="1:1" x14ac:dyDescent="0.35">
      <c r="A3" s="8" t="s">
        <v>47</v>
      </c>
    </row>
    <row r="4" spans="1:1" x14ac:dyDescent="0.35">
      <c r="A4" s="8"/>
    </row>
    <row r="5" spans="1:1" x14ac:dyDescent="0.35">
      <c r="A5" s="185" t="s">
        <v>397</v>
      </c>
    </row>
    <row r="6" spans="1:1" x14ac:dyDescent="0.35">
      <c r="A6" s="485" t="s">
        <v>429</v>
      </c>
    </row>
    <row r="7" spans="1:1" x14ac:dyDescent="0.35">
      <c r="A7" s="485" t="s">
        <v>431</v>
      </c>
    </row>
    <row r="8" spans="1:1" x14ac:dyDescent="0.35">
      <c r="A8" s="485"/>
    </row>
    <row r="10" spans="1:1" ht="18.5" x14ac:dyDescent="0.45">
      <c r="A10" s="64" t="s">
        <v>195</v>
      </c>
    </row>
    <row r="11" spans="1:1" x14ac:dyDescent="0.35">
      <c r="A11" t="s">
        <v>196</v>
      </c>
    </row>
    <row r="12" spans="1:1" x14ac:dyDescent="0.35">
      <c r="A12" t="s">
        <v>225</v>
      </c>
    </row>
    <row r="14" spans="1:1" ht="15.5" x14ac:dyDescent="0.35">
      <c r="A14" s="200" t="s">
        <v>201</v>
      </c>
    </row>
    <row r="15" spans="1:1" ht="18.5" x14ac:dyDescent="0.45">
      <c r="A15" s="1"/>
    </row>
    <row r="16" spans="1:1" x14ac:dyDescent="0.35">
      <c r="A16" s="2" t="s">
        <v>424</v>
      </c>
    </row>
    <row r="17" spans="1:6" ht="18.5" x14ac:dyDescent="0.45">
      <c r="A17" s="1"/>
    </row>
    <row r="18" spans="1:6" x14ac:dyDescent="0.35">
      <c r="B18" s="233" t="s">
        <v>197</v>
      </c>
      <c r="C18" s="635" t="s">
        <v>229</v>
      </c>
      <c r="D18" s="635"/>
      <c r="E18" s="635"/>
      <c r="F18" s="635"/>
    </row>
    <row r="19" spans="1:6" ht="43.5" x14ac:dyDescent="0.35">
      <c r="A19" s="185" t="s">
        <v>226</v>
      </c>
      <c r="B19" s="173" t="s">
        <v>228</v>
      </c>
      <c r="C19" s="12" t="s">
        <v>207</v>
      </c>
      <c r="D19" s="12" t="s">
        <v>208</v>
      </c>
      <c r="E19" s="12" t="s">
        <v>209</v>
      </c>
      <c r="F19" s="12" t="s">
        <v>210</v>
      </c>
    </row>
    <row r="20" spans="1:6" x14ac:dyDescent="0.35">
      <c r="A20" s="234" t="s">
        <v>206</v>
      </c>
      <c r="B20" s="234"/>
      <c r="C20" s="235">
        <v>0.21609666538576491</v>
      </c>
      <c r="D20" s="235">
        <v>0.18160198112804748</v>
      </c>
      <c r="E20" s="235">
        <v>0.32107083386704238</v>
      </c>
      <c r="F20" s="235">
        <v>0.28122624994662909</v>
      </c>
    </row>
    <row r="21" spans="1:6" x14ac:dyDescent="0.35">
      <c r="A21" s="236">
        <v>2010</v>
      </c>
      <c r="B21" s="237">
        <v>0</v>
      </c>
      <c r="C21" s="39">
        <f>C$20*$B21</f>
        <v>0</v>
      </c>
      <c r="D21" s="39">
        <f t="shared" ref="D21:F30" si="0">D$20*$B21</f>
        <v>0</v>
      </c>
      <c r="E21" s="39">
        <f t="shared" si="0"/>
        <v>0</v>
      </c>
      <c r="F21" s="39">
        <f t="shared" si="0"/>
        <v>0</v>
      </c>
    </row>
    <row r="22" spans="1:6" x14ac:dyDescent="0.35">
      <c r="A22" s="238">
        <v>2009</v>
      </c>
      <c r="B22" s="239">
        <v>0</v>
      </c>
      <c r="C22" s="39">
        <f t="shared" ref="C22:C30" si="1">C$20*$B22</f>
        <v>0</v>
      </c>
      <c r="D22" s="39">
        <f t="shared" si="0"/>
        <v>0</v>
      </c>
      <c r="E22" s="39">
        <f t="shared" si="0"/>
        <v>0</v>
      </c>
      <c r="F22" s="39">
        <f t="shared" si="0"/>
        <v>0</v>
      </c>
    </row>
    <row r="23" spans="1:6" x14ac:dyDescent="0.35">
      <c r="A23" s="238">
        <v>2008</v>
      </c>
      <c r="B23" s="239">
        <v>0</v>
      </c>
      <c r="C23" s="39">
        <f t="shared" si="1"/>
        <v>0</v>
      </c>
      <c r="D23" s="39">
        <f t="shared" si="0"/>
        <v>0</v>
      </c>
      <c r="E23" s="39">
        <f t="shared" si="0"/>
        <v>0</v>
      </c>
      <c r="F23" s="39">
        <f t="shared" si="0"/>
        <v>0</v>
      </c>
    </row>
    <row r="24" spans="1:6" x14ac:dyDescent="0.35">
      <c r="A24" s="238">
        <v>2007</v>
      </c>
      <c r="B24" s="239">
        <v>0</v>
      </c>
      <c r="C24" s="39">
        <f t="shared" si="1"/>
        <v>0</v>
      </c>
      <c r="D24" s="39">
        <f t="shared" si="0"/>
        <v>0</v>
      </c>
      <c r="E24" s="39">
        <f t="shared" si="0"/>
        <v>0</v>
      </c>
      <c r="F24" s="39">
        <f t="shared" si="0"/>
        <v>0</v>
      </c>
    </row>
    <row r="25" spans="1:6" x14ac:dyDescent="0.35">
      <c r="A25" s="238">
        <v>2006</v>
      </c>
      <c r="B25" s="239">
        <v>0</v>
      </c>
      <c r="C25" s="39">
        <f t="shared" si="1"/>
        <v>0</v>
      </c>
      <c r="D25" s="39">
        <f t="shared" si="0"/>
        <v>0</v>
      </c>
      <c r="E25" s="39">
        <f t="shared" si="0"/>
        <v>0</v>
      </c>
      <c r="F25" s="39">
        <f t="shared" si="0"/>
        <v>0</v>
      </c>
    </row>
    <row r="26" spans="1:6" x14ac:dyDescent="0.35">
      <c r="A26" s="238">
        <v>2005</v>
      </c>
      <c r="B26" s="239">
        <v>0</v>
      </c>
      <c r="C26" s="39">
        <f t="shared" si="1"/>
        <v>0</v>
      </c>
      <c r="D26" s="39">
        <f t="shared" si="0"/>
        <v>0</v>
      </c>
      <c r="E26" s="39">
        <f t="shared" si="0"/>
        <v>0</v>
      </c>
      <c r="F26" s="39">
        <f t="shared" si="0"/>
        <v>0</v>
      </c>
    </row>
    <row r="27" spans="1:6" x14ac:dyDescent="0.35">
      <c r="A27" s="238">
        <v>2004</v>
      </c>
      <c r="B27" s="239">
        <v>0</v>
      </c>
      <c r="C27" s="39">
        <f t="shared" si="1"/>
        <v>0</v>
      </c>
      <c r="D27" s="39">
        <f t="shared" si="0"/>
        <v>0</v>
      </c>
      <c r="E27" s="39">
        <f t="shared" si="0"/>
        <v>0</v>
      </c>
      <c r="F27" s="39">
        <f t="shared" si="0"/>
        <v>0</v>
      </c>
    </row>
    <row r="28" spans="1:6" x14ac:dyDescent="0.35">
      <c r="A28" s="238">
        <v>2003</v>
      </c>
      <c r="B28" s="239">
        <v>0</v>
      </c>
      <c r="C28" s="39">
        <f t="shared" si="1"/>
        <v>0</v>
      </c>
      <c r="D28" s="39">
        <f t="shared" si="0"/>
        <v>0</v>
      </c>
      <c r="E28" s="39">
        <f t="shared" si="0"/>
        <v>0</v>
      </c>
      <c r="F28" s="39">
        <f t="shared" si="0"/>
        <v>0</v>
      </c>
    </row>
    <row r="29" spans="1:6" x14ac:dyDescent="0.35">
      <c r="A29" s="238">
        <v>2002</v>
      </c>
      <c r="B29" s="239">
        <v>0</v>
      </c>
      <c r="C29" s="39">
        <f t="shared" si="1"/>
        <v>0</v>
      </c>
      <c r="D29" s="39">
        <f t="shared" si="0"/>
        <v>0</v>
      </c>
      <c r="E29" s="39">
        <f t="shared" si="0"/>
        <v>0</v>
      </c>
      <c r="F29" s="39">
        <f t="shared" si="0"/>
        <v>0</v>
      </c>
    </row>
    <row r="30" spans="1:6" x14ac:dyDescent="0.35">
      <c r="A30" s="238">
        <v>2001</v>
      </c>
      <c r="B30" s="239">
        <v>0</v>
      </c>
      <c r="C30" s="39">
        <f t="shared" si="1"/>
        <v>0</v>
      </c>
      <c r="D30" s="39">
        <f t="shared" si="0"/>
        <v>0</v>
      </c>
      <c r="E30" s="39">
        <f t="shared" si="0"/>
        <v>0</v>
      </c>
      <c r="F30" s="39">
        <f t="shared" si="0"/>
        <v>0</v>
      </c>
    </row>
    <row r="32" spans="1:6" ht="15.5" x14ac:dyDescent="0.35">
      <c r="A32" s="201" t="s">
        <v>425</v>
      </c>
    </row>
    <row r="34" spans="1:5" x14ac:dyDescent="0.35">
      <c r="A34" s="219" t="s">
        <v>426</v>
      </c>
    </row>
    <row r="35" spans="1:5" ht="15" thickBot="1" x14ac:dyDescent="0.4"/>
    <row r="36" spans="1:5" x14ac:dyDescent="0.35">
      <c r="A36" s="231" t="s">
        <v>202</v>
      </c>
      <c r="B36" s="231" t="s">
        <v>103</v>
      </c>
      <c r="C36" s="220" t="s">
        <v>203</v>
      </c>
      <c r="D36" s="220" t="s">
        <v>203</v>
      </c>
    </row>
    <row r="37" spans="1:5" ht="27" thickBot="1" x14ac:dyDescent="0.4">
      <c r="A37" s="232"/>
      <c r="B37" s="232"/>
      <c r="C37" s="221" t="s">
        <v>204</v>
      </c>
      <c r="D37" s="221" t="s">
        <v>205</v>
      </c>
    </row>
    <row r="38" spans="1:5" x14ac:dyDescent="0.35">
      <c r="A38" t="s">
        <v>559</v>
      </c>
      <c r="B38" t="s">
        <v>552</v>
      </c>
      <c r="C38" s="51">
        <v>0.35299999999999998</v>
      </c>
      <c r="D38" s="51">
        <v>0.42799999999999999</v>
      </c>
    </row>
    <row r="39" spans="1:5" x14ac:dyDescent="0.35">
      <c r="B39" t="s">
        <v>553</v>
      </c>
      <c r="C39" s="51">
        <v>0.35799999999999998</v>
      </c>
      <c r="D39" s="51">
        <v>0.47</v>
      </c>
    </row>
    <row r="40" spans="1:5" x14ac:dyDescent="0.35">
      <c r="B40" t="s">
        <v>560</v>
      </c>
      <c r="C40" s="51">
        <v>0.36899999999999999</v>
      </c>
      <c r="D40" s="51">
        <v>0.51800000000000002</v>
      </c>
    </row>
    <row r="41" spans="1:5" x14ac:dyDescent="0.35">
      <c r="B41" t="s">
        <v>555</v>
      </c>
      <c r="C41" s="51">
        <v>0.38800000000000001</v>
      </c>
      <c r="D41" s="51">
        <v>0.53400000000000003</v>
      </c>
    </row>
    <row r="42" spans="1:5" x14ac:dyDescent="0.35">
      <c r="B42" t="s">
        <v>556</v>
      </c>
      <c r="C42" s="51">
        <v>0.371</v>
      </c>
      <c r="D42" s="51">
        <v>0.51600000000000001</v>
      </c>
    </row>
    <row r="43" spans="1:5" x14ac:dyDescent="0.35">
      <c r="B43" t="s">
        <v>561</v>
      </c>
      <c r="C43" s="51">
        <v>0.35299999999999998</v>
      </c>
      <c r="D43" s="51">
        <v>0.48099999999999998</v>
      </c>
    </row>
    <row r="44" spans="1:5" x14ac:dyDescent="0.35">
      <c r="B44" t="s">
        <v>562</v>
      </c>
      <c r="C44" s="51">
        <v>0.36099999999999999</v>
      </c>
      <c r="D44" s="51">
        <v>0.51</v>
      </c>
    </row>
    <row r="48" spans="1:5" x14ac:dyDescent="0.35">
      <c r="A48" s="389" t="s">
        <v>428</v>
      </c>
      <c r="B48" s="636" t="s">
        <v>427</v>
      </c>
      <c r="C48" s="636"/>
      <c r="D48" s="636"/>
      <c r="E48" s="636"/>
    </row>
    <row r="49" spans="1:9" ht="29.15" customHeight="1" x14ac:dyDescent="0.35">
      <c r="B49" s="634" t="s">
        <v>430</v>
      </c>
      <c r="C49" s="634"/>
      <c r="D49" s="634"/>
      <c r="E49" s="634"/>
    </row>
    <row r="50" spans="1:9" x14ac:dyDescent="0.35">
      <c r="B50" s="172" t="s">
        <v>490</v>
      </c>
      <c r="C50" s="172" t="s">
        <v>490</v>
      </c>
      <c r="D50" s="172" t="s">
        <v>563</v>
      </c>
      <c r="E50" s="172" t="s">
        <v>563</v>
      </c>
    </row>
    <row r="51" spans="1:9" x14ac:dyDescent="0.35">
      <c r="B51" s="536">
        <f>D40</f>
        <v>0.51800000000000002</v>
      </c>
      <c r="C51" s="536">
        <f>D40</f>
        <v>0.51800000000000002</v>
      </c>
      <c r="D51" s="536">
        <f>C44</f>
        <v>0.36099999999999999</v>
      </c>
      <c r="E51" s="536">
        <f>C44</f>
        <v>0.36099999999999999</v>
      </c>
    </row>
    <row r="52" spans="1:9" ht="29" x14ac:dyDescent="0.35">
      <c r="B52" s="12" t="s">
        <v>211</v>
      </c>
      <c r="C52" s="12" t="s">
        <v>212</v>
      </c>
      <c r="D52" s="12" t="s">
        <v>213</v>
      </c>
      <c r="E52" s="12" t="s">
        <v>214</v>
      </c>
    </row>
    <row r="53" spans="1:9" x14ac:dyDescent="0.35">
      <c r="A53">
        <f>A21</f>
        <v>2010</v>
      </c>
      <c r="B53" s="41">
        <f>B$51*C21*62.4*0.5</f>
        <v>0</v>
      </c>
      <c r="C53" s="41">
        <f t="shared" ref="C53:E53" si="2">C$51*D21*62.4*0.5</f>
        <v>0</v>
      </c>
      <c r="D53" s="41">
        <f t="shared" si="2"/>
        <v>0</v>
      </c>
      <c r="E53" s="41">
        <f t="shared" si="2"/>
        <v>0</v>
      </c>
      <c r="F53" s="41"/>
      <c r="G53" s="41"/>
      <c r="H53" s="41"/>
      <c r="I53" s="41"/>
    </row>
    <row r="54" spans="1:9" x14ac:dyDescent="0.35">
      <c r="A54">
        <f t="shared" ref="A54:A62" si="3">A22</f>
        <v>2009</v>
      </c>
      <c r="B54" s="41">
        <f t="shared" ref="B54:E54" si="4">B$51*C22*62.4*0.5</f>
        <v>0</v>
      </c>
      <c r="C54" s="41">
        <f t="shared" si="4"/>
        <v>0</v>
      </c>
      <c r="D54" s="41">
        <f t="shared" si="4"/>
        <v>0</v>
      </c>
      <c r="E54" s="41">
        <f t="shared" si="4"/>
        <v>0</v>
      </c>
      <c r="F54" s="41"/>
      <c r="G54" s="41"/>
      <c r="H54" s="41"/>
      <c r="I54" s="41"/>
    </row>
    <row r="55" spans="1:9" x14ac:dyDescent="0.35">
      <c r="A55">
        <f t="shared" si="3"/>
        <v>2008</v>
      </c>
      <c r="B55" s="41">
        <f t="shared" ref="B55:E55" si="5">B$51*C23*62.4*0.5</f>
        <v>0</v>
      </c>
      <c r="C55" s="41">
        <f t="shared" si="5"/>
        <v>0</v>
      </c>
      <c r="D55" s="41">
        <f t="shared" si="5"/>
        <v>0</v>
      </c>
      <c r="E55" s="41">
        <f t="shared" si="5"/>
        <v>0</v>
      </c>
      <c r="F55" s="41"/>
      <c r="G55" s="41"/>
      <c r="H55" s="41"/>
      <c r="I55" s="41"/>
    </row>
    <row r="56" spans="1:9" x14ac:dyDescent="0.35">
      <c r="A56">
        <f t="shared" si="3"/>
        <v>2007</v>
      </c>
      <c r="B56" s="41">
        <f t="shared" ref="B56:E56" si="6">B$51*C24*62.4*0.5</f>
        <v>0</v>
      </c>
      <c r="C56" s="41">
        <f t="shared" si="6"/>
        <v>0</v>
      </c>
      <c r="D56" s="41">
        <f t="shared" si="6"/>
        <v>0</v>
      </c>
      <c r="E56" s="41">
        <f t="shared" si="6"/>
        <v>0</v>
      </c>
      <c r="F56" s="41"/>
      <c r="G56" s="41"/>
      <c r="H56" s="41"/>
      <c r="I56" s="41"/>
    </row>
    <row r="57" spans="1:9" x14ac:dyDescent="0.35">
      <c r="A57">
        <f t="shared" si="3"/>
        <v>2006</v>
      </c>
      <c r="B57" s="41">
        <f t="shared" ref="B57:E57" si="7">B$51*C25*62.4*0.5</f>
        <v>0</v>
      </c>
      <c r="C57" s="41">
        <f t="shared" si="7"/>
        <v>0</v>
      </c>
      <c r="D57" s="41">
        <f t="shared" si="7"/>
        <v>0</v>
      </c>
      <c r="E57" s="41">
        <f t="shared" si="7"/>
        <v>0</v>
      </c>
      <c r="F57" s="41"/>
      <c r="G57" s="41"/>
      <c r="H57" s="41"/>
      <c r="I57" s="41"/>
    </row>
    <row r="58" spans="1:9" x14ac:dyDescent="0.35">
      <c r="A58">
        <f t="shared" si="3"/>
        <v>2005</v>
      </c>
      <c r="B58" s="41">
        <f t="shared" ref="B58:E58" si="8">B$51*C26*62.4*0.5</f>
        <v>0</v>
      </c>
      <c r="C58" s="41">
        <f t="shared" si="8"/>
        <v>0</v>
      </c>
      <c r="D58" s="41">
        <f t="shared" si="8"/>
        <v>0</v>
      </c>
      <c r="E58" s="41">
        <f t="shared" si="8"/>
        <v>0</v>
      </c>
      <c r="F58" s="41"/>
      <c r="G58" s="41"/>
      <c r="H58" s="41"/>
      <c r="I58" s="41"/>
    </row>
    <row r="59" spans="1:9" x14ac:dyDescent="0.35">
      <c r="A59">
        <f t="shared" si="3"/>
        <v>2004</v>
      </c>
      <c r="B59" s="41">
        <f t="shared" ref="B59:E59" si="9">B$51*C27*62.4*0.5</f>
        <v>0</v>
      </c>
      <c r="C59" s="41">
        <f t="shared" si="9"/>
        <v>0</v>
      </c>
      <c r="D59" s="41">
        <f t="shared" si="9"/>
        <v>0</v>
      </c>
      <c r="E59" s="41">
        <f t="shared" si="9"/>
        <v>0</v>
      </c>
      <c r="F59" s="41"/>
      <c r="G59" s="41"/>
      <c r="H59" s="41"/>
      <c r="I59" s="41"/>
    </row>
    <row r="60" spans="1:9" x14ac:dyDescent="0.35">
      <c r="A60">
        <f t="shared" si="3"/>
        <v>2003</v>
      </c>
      <c r="B60" s="41">
        <f t="shared" ref="B60:E60" si="10">B$51*C28*62.4*0.5</f>
        <v>0</v>
      </c>
      <c r="C60" s="41">
        <f t="shared" si="10"/>
        <v>0</v>
      </c>
      <c r="D60" s="41">
        <f t="shared" si="10"/>
        <v>0</v>
      </c>
      <c r="E60" s="41">
        <f t="shared" si="10"/>
        <v>0</v>
      </c>
      <c r="F60" s="41"/>
      <c r="G60" s="41"/>
      <c r="H60" s="41"/>
      <c r="I60" s="41"/>
    </row>
    <row r="61" spans="1:9" x14ac:dyDescent="0.35">
      <c r="A61">
        <f t="shared" si="3"/>
        <v>2002</v>
      </c>
      <c r="B61" s="41">
        <f t="shared" ref="B61:E61" si="11">B$51*C29*62.4*0.5</f>
        <v>0</v>
      </c>
      <c r="C61" s="41">
        <f t="shared" si="11"/>
        <v>0</v>
      </c>
      <c r="D61" s="41">
        <f t="shared" si="11"/>
        <v>0</v>
      </c>
      <c r="E61" s="41">
        <f t="shared" si="11"/>
        <v>0</v>
      </c>
      <c r="F61" s="41"/>
      <c r="G61" s="41"/>
      <c r="H61" s="41"/>
      <c r="I61" s="41"/>
    </row>
    <row r="62" spans="1:9" x14ac:dyDescent="0.35">
      <c r="A62">
        <f t="shared" si="3"/>
        <v>2001</v>
      </c>
      <c r="B62" s="241">
        <f t="shared" ref="B62:E62" si="12">B$51*C30*62.4*0.5</f>
        <v>0</v>
      </c>
      <c r="C62" s="241">
        <f t="shared" si="12"/>
        <v>0</v>
      </c>
      <c r="D62" s="241">
        <f t="shared" si="12"/>
        <v>0</v>
      </c>
      <c r="E62" s="241">
        <f t="shared" si="12"/>
        <v>0</v>
      </c>
      <c r="F62" s="41"/>
      <c r="G62" s="41"/>
      <c r="H62" s="41"/>
      <c r="I62" s="41"/>
    </row>
    <row r="63" spans="1:9" x14ac:dyDescent="0.35">
      <c r="A63" s="5" t="s">
        <v>230</v>
      </c>
      <c r="B63" s="39">
        <f>SUM(B53:B62)</f>
        <v>0</v>
      </c>
      <c r="C63" s="39">
        <f t="shared" ref="C63:E63" si="13">SUM(C53:C62)</f>
        <v>0</v>
      </c>
      <c r="D63" s="39">
        <f t="shared" si="13"/>
        <v>0</v>
      </c>
      <c r="E63" s="39">
        <f t="shared" si="13"/>
        <v>0</v>
      </c>
      <c r="F63" s="41"/>
      <c r="G63" s="41"/>
      <c r="H63" s="41"/>
      <c r="I63" s="41"/>
    </row>
    <row r="64" spans="1:9" x14ac:dyDescent="0.35">
      <c r="B64" s="39"/>
      <c r="C64" s="39"/>
      <c r="D64" s="39"/>
      <c r="E64" s="39"/>
      <c r="F64" s="41"/>
      <c r="G64" s="41"/>
      <c r="H64" s="41"/>
      <c r="I64" s="41"/>
    </row>
    <row r="65" spans="1:10" x14ac:dyDescent="0.35">
      <c r="B65" s="39"/>
      <c r="C65" s="39"/>
      <c r="D65" s="39"/>
      <c r="E65" s="39"/>
      <c r="F65" s="41"/>
      <c r="G65" s="41"/>
      <c r="H65" s="41"/>
      <c r="I65" s="41"/>
    </row>
    <row r="66" spans="1:10" ht="15.5" x14ac:dyDescent="0.35">
      <c r="A66" s="201" t="s">
        <v>227</v>
      </c>
    </row>
    <row r="68" spans="1:10" x14ac:dyDescent="0.35">
      <c r="A68" s="223" t="s">
        <v>215</v>
      </c>
    </row>
    <row r="70" spans="1:10" ht="15" thickBot="1" x14ac:dyDescent="0.4"/>
    <row r="71" spans="1:10" ht="15" thickBot="1" x14ac:dyDescent="0.4">
      <c r="B71" s="632" t="s">
        <v>216</v>
      </c>
      <c r="C71" s="637" t="s">
        <v>217</v>
      </c>
      <c r="D71" s="638"/>
      <c r="E71" s="632" t="s">
        <v>218</v>
      </c>
      <c r="F71" s="224"/>
      <c r="G71" s="632" t="s">
        <v>216</v>
      </c>
      <c r="H71" s="637" t="s">
        <v>219</v>
      </c>
      <c r="I71" s="638"/>
      <c r="J71" s="632" t="s">
        <v>218</v>
      </c>
    </row>
    <row r="72" spans="1:10" ht="15" thickBot="1" x14ac:dyDescent="0.4">
      <c r="B72" s="633"/>
      <c r="C72" s="221" t="s">
        <v>220</v>
      </c>
      <c r="D72" s="225" t="s">
        <v>221</v>
      </c>
      <c r="E72" s="633"/>
      <c r="F72" s="226"/>
      <c r="G72" s="633"/>
      <c r="H72" s="221" t="s">
        <v>220</v>
      </c>
      <c r="I72" s="225" t="s">
        <v>221</v>
      </c>
      <c r="J72" s="633"/>
    </row>
    <row r="73" spans="1:10" ht="15" thickBot="1" x14ac:dyDescent="0.4">
      <c r="A73" t="s">
        <v>564</v>
      </c>
      <c r="B73" s="227">
        <v>0.23499999999999999</v>
      </c>
      <c r="C73" s="228">
        <v>0.16600000000000001</v>
      </c>
      <c r="D73" s="228">
        <v>0.40200000000000002</v>
      </c>
      <c r="E73" s="228">
        <f>1-D73</f>
        <v>0.59799999999999998</v>
      </c>
      <c r="F73" s="229"/>
      <c r="G73" s="228">
        <v>4.1000000000000002E-2</v>
      </c>
      <c r="H73" s="228">
        <v>9.5000000000000001E-2</v>
      </c>
      <c r="I73" s="228">
        <v>0.13600000000000001</v>
      </c>
      <c r="J73" s="228">
        <f>1-I73</f>
        <v>0.86399999999999999</v>
      </c>
    </row>
    <row r="74" spans="1:10" ht="15" thickBot="1" x14ac:dyDescent="0.4">
      <c r="A74" t="s">
        <v>565</v>
      </c>
      <c r="B74" s="227">
        <v>0.24399999999999999</v>
      </c>
      <c r="C74" s="228">
        <v>0.192</v>
      </c>
      <c r="D74" s="228">
        <v>0.437</v>
      </c>
      <c r="E74" s="228">
        <f>1-D74</f>
        <v>0.56299999999999994</v>
      </c>
      <c r="F74" s="240"/>
      <c r="G74" s="240">
        <v>0.17799999999999999</v>
      </c>
      <c r="H74" s="240">
        <v>0.14499999999999999</v>
      </c>
      <c r="I74" s="240">
        <v>0.32300000000000001</v>
      </c>
      <c r="J74" s="240">
        <f>1-I74</f>
        <v>0.67700000000000005</v>
      </c>
    </row>
    <row r="77" spans="1:10" x14ac:dyDescent="0.35">
      <c r="A77" s="2" t="s">
        <v>222</v>
      </c>
      <c r="C77" s="2" t="s">
        <v>237</v>
      </c>
    </row>
    <row r="79" spans="1:10" x14ac:dyDescent="0.35">
      <c r="A79" t="s">
        <v>223</v>
      </c>
      <c r="B79" s="39">
        <f>-$D63*B73</f>
        <v>0</v>
      </c>
      <c r="C79" s="39">
        <f t="shared" ref="C79:D79" si="14">-$D63*C73</f>
        <v>0</v>
      </c>
      <c r="D79" s="39">
        <f t="shared" si="14"/>
        <v>0</v>
      </c>
      <c r="E79" s="39">
        <f>$D63*E73</f>
        <v>0</v>
      </c>
      <c r="F79" s="39"/>
      <c r="G79" s="39">
        <f>-$E63*G73</f>
        <v>0</v>
      </c>
      <c r="H79" s="39">
        <f t="shared" ref="H79:I79" si="15">-$E63*H73</f>
        <v>0</v>
      </c>
      <c r="I79" s="39">
        <f t="shared" si="15"/>
        <v>0</v>
      </c>
      <c r="J79" s="39">
        <f>$E63*J73</f>
        <v>0</v>
      </c>
    </row>
    <row r="80" spans="1:10" ht="15" thickBot="1" x14ac:dyDescent="0.4">
      <c r="A80" t="s">
        <v>224</v>
      </c>
      <c r="B80" s="230">
        <f>-$B63*B74</f>
        <v>0</v>
      </c>
      <c r="C80" s="230">
        <f t="shared" ref="C80:D80" si="16">-$B63*C74</f>
        <v>0</v>
      </c>
      <c r="D80" s="230">
        <f t="shared" si="16"/>
        <v>0</v>
      </c>
      <c r="E80" s="230">
        <f>$B63*E74</f>
        <v>0</v>
      </c>
      <c r="F80" s="230"/>
      <c r="G80" s="230">
        <f>-$C63*G74</f>
        <v>0</v>
      </c>
      <c r="H80" s="230">
        <f t="shared" ref="H80:I80" si="17">-$C63*H74</f>
        <v>0</v>
      </c>
      <c r="I80" s="230">
        <f t="shared" si="17"/>
        <v>0</v>
      </c>
      <c r="J80" s="230">
        <f>$C63*J74</f>
        <v>0</v>
      </c>
    </row>
    <row r="81" spans="1:10" x14ac:dyDescent="0.35">
      <c r="A81" t="s">
        <v>77</v>
      </c>
      <c r="B81" s="39">
        <f>SUM(B79:B80)</f>
        <v>0</v>
      </c>
      <c r="C81" s="39">
        <f t="shared" ref="C81:E81" si="18">SUM(C79:C80)</f>
        <v>0</v>
      </c>
      <c r="D81" s="39">
        <f t="shared" si="18"/>
        <v>0</v>
      </c>
      <c r="E81" s="39">
        <f t="shared" si="18"/>
        <v>0</v>
      </c>
      <c r="G81" s="39">
        <f t="shared" ref="G81:J81" si="19">SUM(G79:G80)</f>
        <v>0</v>
      </c>
      <c r="H81" s="39">
        <f t="shared" si="19"/>
        <v>0</v>
      </c>
      <c r="I81" s="39">
        <f t="shared" si="19"/>
        <v>0</v>
      </c>
      <c r="J81" s="39">
        <f t="shared" si="19"/>
        <v>0</v>
      </c>
    </row>
    <row r="83" spans="1:10" x14ac:dyDescent="0.35">
      <c r="A83" s="2" t="s">
        <v>234</v>
      </c>
      <c r="C83" s="2" t="s">
        <v>177</v>
      </c>
    </row>
    <row r="85" spans="1:10" ht="15" thickBot="1" x14ac:dyDescent="0.4">
      <c r="B85" s="172" t="s">
        <v>216</v>
      </c>
      <c r="C85" s="172" t="s">
        <v>231</v>
      </c>
      <c r="D85" s="172" t="s">
        <v>232</v>
      </c>
      <c r="E85" s="172" t="s">
        <v>233</v>
      </c>
    </row>
    <row r="86" spans="1:10" ht="15.5" thickTop="1" thickBot="1" x14ac:dyDescent="0.4">
      <c r="B86" s="222">
        <f>(B81+G81)*0.453592</f>
        <v>0</v>
      </c>
      <c r="C86" s="222">
        <f t="shared" ref="C86:E86" si="20">(C81+H81)*0.453592</f>
        <v>0</v>
      </c>
      <c r="D86" s="222">
        <f t="shared" si="20"/>
        <v>0</v>
      </c>
      <c r="E86" s="244">
        <f t="shared" si="20"/>
        <v>0</v>
      </c>
    </row>
    <row r="87" spans="1:10" ht="15" thickTop="1" x14ac:dyDescent="0.35"/>
    <row r="88" spans="1:10" ht="16.5" x14ac:dyDescent="0.45">
      <c r="A88" s="2" t="s">
        <v>234</v>
      </c>
      <c r="C88" s="2" t="s">
        <v>236</v>
      </c>
      <c r="F88" s="152" t="s">
        <v>239</v>
      </c>
    </row>
    <row r="89" spans="1:10" x14ac:dyDescent="0.35">
      <c r="F89" s="152" t="s">
        <v>238</v>
      </c>
    </row>
    <row r="90" spans="1:10" ht="15" thickBot="1" x14ac:dyDescent="0.4">
      <c r="B90" s="172" t="s">
        <v>216</v>
      </c>
      <c r="C90" s="172" t="s">
        <v>231</v>
      </c>
      <c r="D90" s="172" t="s">
        <v>232</v>
      </c>
      <c r="E90" s="172" t="s">
        <v>233</v>
      </c>
    </row>
    <row r="91" spans="1:10" ht="15.5" thickTop="1" thickBot="1" x14ac:dyDescent="0.4">
      <c r="B91" s="222">
        <f>B86*44/12</f>
        <v>0</v>
      </c>
      <c r="C91" s="222">
        <f t="shared" ref="C91:E91" si="21">C86*44/12</f>
        <v>0</v>
      </c>
      <c r="D91" s="222">
        <f t="shared" si="21"/>
        <v>0</v>
      </c>
      <c r="E91" s="244">
        <f t="shared" si="21"/>
        <v>0</v>
      </c>
    </row>
    <row r="92" spans="1:10" ht="15" thickTop="1" x14ac:dyDescent="0.35">
      <c r="B92" s="41"/>
      <c r="C92" s="41"/>
      <c r="D92" s="41"/>
      <c r="E92" s="41"/>
    </row>
    <row r="93" spans="1:10" ht="17" thickBot="1" x14ac:dyDescent="0.5">
      <c r="B93" s="41"/>
      <c r="C93" s="2" t="s">
        <v>282</v>
      </c>
      <c r="D93" s="41"/>
      <c r="E93" s="41"/>
    </row>
    <row r="94" spans="1:10" ht="15.5" thickTop="1" thickBot="1" x14ac:dyDescent="0.4">
      <c r="B94" s="244">
        <f>B91/(Intro!$B$23-Intro!$B$22)</f>
        <v>0</v>
      </c>
      <c r="C94" s="244">
        <f>C91/(Intro!$B$23-Intro!$B$22)</f>
        <v>0</v>
      </c>
      <c r="D94" s="244">
        <f>D91/(Intro!$B$23-Intro!$B$22)</f>
        <v>0</v>
      </c>
      <c r="E94" s="244">
        <f>E91/(Intro!$B$23-Intro!$B$22)</f>
        <v>0</v>
      </c>
    </row>
    <row r="95" spans="1:10" ht="15" thickTop="1" x14ac:dyDescent="0.35">
      <c r="B95" s="41"/>
      <c r="C95" s="41"/>
      <c r="D95" s="41"/>
      <c r="E95" s="41"/>
    </row>
    <row r="96" spans="1:10" x14ac:dyDescent="0.35">
      <c r="B96" s="41"/>
      <c r="C96" s="41"/>
      <c r="D96" s="41"/>
      <c r="E96" s="41"/>
    </row>
    <row r="97" spans="1:5" x14ac:dyDescent="0.35">
      <c r="B97" s="41"/>
      <c r="C97" s="41"/>
      <c r="D97" s="41"/>
      <c r="E97" s="41"/>
    </row>
    <row r="100" spans="1:5" ht="18.5" x14ac:dyDescent="0.45">
      <c r="A100" s="64" t="s">
        <v>235</v>
      </c>
    </row>
    <row r="101" spans="1:5" x14ac:dyDescent="0.35">
      <c r="A101" t="s">
        <v>196</v>
      </c>
    </row>
    <row r="102" spans="1:5" x14ac:dyDescent="0.35">
      <c r="A102" t="s">
        <v>225</v>
      </c>
    </row>
    <row r="104" spans="1:5" ht="15.5" x14ac:dyDescent="0.35">
      <c r="A104" s="200" t="s">
        <v>201</v>
      </c>
    </row>
    <row r="283" spans="1:11" s="11" customFormat="1" x14ac:dyDescent="0.35"/>
    <row r="284" spans="1:11" s="11" customFormat="1" x14ac:dyDescent="0.35"/>
    <row r="285" spans="1:11" s="11" customFormat="1" x14ac:dyDescent="0.35">
      <c r="B285" s="170"/>
      <c r="C285" s="170"/>
      <c r="D285" s="170"/>
      <c r="E285" s="170"/>
      <c r="F285" s="170"/>
      <c r="G285" s="170"/>
      <c r="H285" s="170"/>
      <c r="I285" s="170"/>
      <c r="J285" s="170"/>
      <c r="K285" s="170"/>
    </row>
    <row r="286" spans="1:11" s="11" customFormat="1" x14ac:dyDescent="0.35">
      <c r="A286" s="242"/>
    </row>
    <row r="287" spans="1:11" s="11" customFormat="1" x14ac:dyDescent="0.35">
      <c r="A287" s="243"/>
    </row>
    <row r="288" spans="1:11" s="11" customFormat="1" x14ac:dyDescent="0.35">
      <c r="A288" s="243"/>
    </row>
    <row r="289" spans="1:10" s="11" customFormat="1" x14ac:dyDescent="0.35">
      <c r="A289" s="243"/>
    </row>
    <row r="290" spans="1:10" s="11" customFormat="1" x14ac:dyDescent="0.35">
      <c r="A290" s="243"/>
    </row>
    <row r="291" spans="1:10" s="11" customFormat="1" ht="18.5" x14ac:dyDescent="0.45">
      <c r="A291" s="243"/>
      <c r="J291" s="14"/>
    </row>
    <row r="292" spans="1:10" s="11" customFormat="1" x14ac:dyDescent="0.35">
      <c r="A292" s="243"/>
    </row>
    <row r="293" spans="1:10" s="11" customFormat="1" x14ac:dyDescent="0.35">
      <c r="A293" s="243"/>
    </row>
    <row r="294" spans="1:10" s="11" customFormat="1" x14ac:dyDescent="0.35">
      <c r="A294" s="243"/>
    </row>
    <row r="295" spans="1:10" s="11" customFormat="1" x14ac:dyDescent="0.35">
      <c r="A295" s="243"/>
    </row>
    <row r="296" spans="1:10" s="11" customFormat="1" x14ac:dyDescent="0.35">
      <c r="A296" s="243"/>
    </row>
    <row r="297" spans="1:10" s="11" customFormat="1" x14ac:dyDescent="0.35"/>
    <row r="298" spans="1:10" s="11" customFormat="1" x14ac:dyDescent="0.35">
      <c r="A298" s="242"/>
    </row>
    <row r="299" spans="1:10" s="11" customFormat="1" x14ac:dyDescent="0.35">
      <c r="A299" s="243"/>
    </row>
    <row r="300" spans="1:10" s="11" customFormat="1" x14ac:dyDescent="0.35">
      <c r="A300" s="243"/>
    </row>
    <row r="301" spans="1:10" s="11" customFormat="1" x14ac:dyDescent="0.35">
      <c r="A301" s="243"/>
    </row>
    <row r="302" spans="1:10" s="11" customFormat="1" x14ac:dyDescent="0.35">
      <c r="A302" s="243"/>
    </row>
    <row r="303" spans="1:10" s="11" customFormat="1" x14ac:dyDescent="0.35">
      <c r="A303" s="243"/>
    </row>
    <row r="304" spans="1:10" s="11" customFormat="1" x14ac:dyDescent="0.35">
      <c r="A304" s="243"/>
    </row>
    <row r="305" spans="1:1" s="11" customFormat="1" x14ac:dyDescent="0.35">
      <c r="A305" s="243"/>
    </row>
    <row r="306" spans="1:1" s="11" customFormat="1" x14ac:dyDescent="0.35">
      <c r="A306" s="243"/>
    </row>
    <row r="307" spans="1:1" s="11" customFormat="1" x14ac:dyDescent="0.35">
      <c r="A307" s="243"/>
    </row>
    <row r="308" spans="1:1" s="11" customFormat="1" x14ac:dyDescent="0.35">
      <c r="A308" s="243"/>
    </row>
    <row r="309" spans="1:1" s="11" customFormat="1" x14ac:dyDescent="0.35"/>
    <row r="310" spans="1:1" s="11" customFormat="1" x14ac:dyDescent="0.35"/>
    <row r="311" spans="1:1" s="11" customFormat="1" x14ac:dyDescent="0.35">
      <c r="A311" s="243"/>
    </row>
    <row r="312" spans="1:1" s="11" customFormat="1" x14ac:dyDescent="0.35">
      <c r="A312" s="243"/>
    </row>
    <row r="313" spans="1:1" s="11" customFormat="1" x14ac:dyDescent="0.35">
      <c r="A313" s="243"/>
    </row>
    <row r="314" spans="1:1" s="11" customFormat="1" x14ac:dyDescent="0.35">
      <c r="A314" s="243"/>
    </row>
    <row r="315" spans="1:1" s="11" customFormat="1" x14ac:dyDescent="0.35">
      <c r="A315" s="243"/>
    </row>
    <row r="316" spans="1:1" s="11" customFormat="1" x14ac:dyDescent="0.35">
      <c r="A316" s="243"/>
    </row>
    <row r="317" spans="1:1" s="11" customFormat="1" x14ac:dyDescent="0.35">
      <c r="A317" s="243"/>
    </row>
    <row r="318" spans="1:1" s="11" customFormat="1" x14ac:dyDescent="0.35">
      <c r="A318" s="243"/>
    </row>
    <row r="319" spans="1:1" s="11" customFormat="1" x14ac:dyDescent="0.35">
      <c r="A319" s="243"/>
    </row>
    <row r="320" spans="1:1" s="11" customFormat="1" x14ac:dyDescent="0.35">
      <c r="A320" s="243"/>
    </row>
    <row r="321" s="11" customFormat="1" x14ac:dyDescent="0.35"/>
    <row r="322" s="11" customFormat="1" x14ac:dyDescent="0.35"/>
    <row r="323" s="11" customFormat="1" x14ac:dyDescent="0.35"/>
  </sheetData>
  <mergeCells count="9">
    <mergeCell ref="J71:J72"/>
    <mergeCell ref="B49:E49"/>
    <mergeCell ref="C18:F18"/>
    <mergeCell ref="B48:E48"/>
    <mergeCell ref="B71:B72"/>
    <mergeCell ref="C71:D71"/>
    <mergeCell ref="E71:E72"/>
    <mergeCell ref="G71:G72"/>
    <mergeCell ref="H71:I7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206DD-8019-432B-8CAF-E3EEFA19FA1A}">
  <dimension ref="A1:X175"/>
  <sheetViews>
    <sheetView workbookViewId="0">
      <selection activeCell="B126" sqref="B126"/>
    </sheetView>
  </sheetViews>
  <sheetFormatPr defaultRowHeight="14.5" x14ac:dyDescent="0.35"/>
  <cols>
    <col min="1" max="1" width="24.81640625" customWidth="1"/>
    <col min="2" max="2" width="12.1796875" customWidth="1"/>
    <col min="3" max="3" width="11" customWidth="1"/>
    <col min="4" max="4" width="10.7265625" customWidth="1"/>
    <col min="5" max="6" width="10.81640625" customWidth="1"/>
    <col min="7" max="7" width="10.54296875" customWidth="1"/>
    <col min="8" max="8" width="10.7265625" customWidth="1"/>
    <col min="9" max="9" width="9.54296875" customWidth="1"/>
    <col min="10" max="10" width="19.26953125" customWidth="1"/>
    <col min="11" max="11" width="10.453125" customWidth="1"/>
    <col min="12" max="12" width="10.7265625" customWidth="1"/>
    <col min="13" max="13" width="11.7265625" customWidth="1"/>
    <col min="14" max="14" width="11.54296875" customWidth="1"/>
  </cols>
  <sheetData>
    <row r="1" spans="1:24" ht="18.5" x14ac:dyDescent="0.45">
      <c r="A1" s="1" t="s">
        <v>248</v>
      </c>
    </row>
    <row r="3" spans="1:24" ht="16.5" x14ac:dyDescent="0.35">
      <c r="A3" s="8" t="s">
        <v>267</v>
      </c>
    </row>
    <row r="4" spans="1:24" x14ac:dyDescent="0.35">
      <c r="A4" s="8"/>
    </row>
    <row r="5" spans="1:24" x14ac:dyDescent="0.35">
      <c r="A5" s="185" t="s">
        <v>397</v>
      </c>
    </row>
    <row r="6" spans="1:24" ht="29.5" customHeight="1" x14ac:dyDescent="0.35">
      <c r="A6" s="641" t="s">
        <v>601</v>
      </c>
      <c r="B6" s="641"/>
      <c r="C6" s="641"/>
      <c r="D6" s="641"/>
      <c r="E6" s="641"/>
      <c r="F6" s="641"/>
      <c r="G6" s="641"/>
    </row>
    <row r="7" spans="1:24" ht="17.25" customHeight="1" x14ac:dyDescent="0.35"/>
    <row r="8" spans="1:24" ht="14.5" customHeight="1" x14ac:dyDescent="0.45">
      <c r="A8" s="64" t="s">
        <v>241</v>
      </c>
      <c r="B8" s="486"/>
      <c r="C8" s="486"/>
      <c r="D8" s="486"/>
      <c r="E8" s="486"/>
      <c r="F8" s="486"/>
      <c r="G8" s="486"/>
    </row>
    <row r="10" spans="1:24" ht="15.5" x14ac:dyDescent="0.35">
      <c r="A10" s="201" t="s">
        <v>599</v>
      </c>
    </row>
    <row r="12" spans="1:24" x14ac:dyDescent="0.35">
      <c r="A12" t="s">
        <v>590</v>
      </c>
    </row>
    <row r="13" spans="1:24" x14ac:dyDescent="0.35">
      <c r="A13" t="s">
        <v>598</v>
      </c>
      <c r="H13" s="82"/>
    </row>
    <row r="14" spans="1:24" x14ac:dyDescent="0.35">
      <c r="A14" s="180"/>
      <c r="B14">
        <f>Intro!$B$23</f>
        <v>2016</v>
      </c>
      <c r="J14" t="s">
        <v>591</v>
      </c>
    </row>
    <row r="15" spans="1:24" x14ac:dyDescent="0.35">
      <c r="A15" s="376">
        <f>Intro!$B$22</f>
        <v>2011</v>
      </c>
      <c r="B15" s="377" t="s">
        <v>4</v>
      </c>
      <c r="C15" s="378" t="s">
        <v>6</v>
      </c>
      <c r="D15" s="379" t="s">
        <v>5</v>
      </c>
      <c r="E15" s="380" t="s">
        <v>50</v>
      </c>
      <c r="F15" s="381" t="s">
        <v>51</v>
      </c>
      <c r="G15" s="382" t="s">
        <v>52</v>
      </c>
      <c r="H15" s="270" t="s">
        <v>92</v>
      </c>
      <c r="K15" s="592" t="s">
        <v>592</v>
      </c>
      <c r="L15" s="591">
        <f>A15</f>
        <v>2011</v>
      </c>
      <c r="M15" s="592">
        <f>B14</f>
        <v>2016</v>
      </c>
      <c r="U15" s="234" t="s">
        <v>300</v>
      </c>
      <c r="V15" s="234"/>
      <c r="W15" s="234"/>
    </row>
    <row r="16" spans="1:24" x14ac:dyDescent="0.35">
      <c r="A16" s="377" t="s">
        <v>4</v>
      </c>
      <c r="B16" s="218">
        <f>'2a. Forest AD'!B36</f>
        <v>43889.348918201787</v>
      </c>
      <c r="C16" s="218">
        <f>'4c. F to NF correction'!P33</f>
        <v>143.62064996334328</v>
      </c>
      <c r="D16" s="218">
        <f>'2a. Forest AD'!D36</f>
        <v>2.2168610839879901</v>
      </c>
      <c r="E16" s="218">
        <f>'2a. Forest AD'!E36</f>
        <v>20.939702172838398</v>
      </c>
      <c r="F16" s="218">
        <f>'2a. Forest AD'!F36</f>
        <v>155.54341403209824</v>
      </c>
      <c r="G16" s="218">
        <f>'2a. Forest AD'!G36</f>
        <v>0</v>
      </c>
      <c r="H16" s="584">
        <f>SUM(B16:G16)</f>
        <v>44211.669545454053</v>
      </c>
      <c r="J16" s="593" t="s">
        <v>4</v>
      </c>
      <c r="K16" s="588">
        <f>(L16+M16)/2</f>
        <v>44220.085410843887</v>
      </c>
      <c r="L16" s="590">
        <f>H16</f>
        <v>44211.669545454053</v>
      </c>
      <c r="M16" s="587">
        <f>B22</f>
        <v>44228.501276233721</v>
      </c>
      <c r="U16" t="s">
        <v>600</v>
      </c>
      <c r="V16">
        <f>A15</f>
        <v>2011</v>
      </c>
      <c r="W16" s="599">
        <f>H16</f>
        <v>44211.669545454053</v>
      </c>
      <c r="X16" s="13"/>
    </row>
    <row r="17" spans="1:24" ht="16.5" x14ac:dyDescent="0.35">
      <c r="A17" s="378" t="s">
        <v>6</v>
      </c>
      <c r="B17" s="218">
        <f>'4c. F to NF correction'!P39</f>
        <v>271.55802858857538</v>
      </c>
      <c r="C17" s="585">
        <f>'2b. TOF AD'!C42</f>
        <v>21494.148754332567</v>
      </c>
      <c r="D17" s="585">
        <f>'2b. TOF AD'!D42</f>
        <v>274.16345688466168</v>
      </c>
      <c r="E17" s="585">
        <f>'2b. TOF AD'!E42</f>
        <v>1.259598547363</v>
      </c>
      <c r="F17" s="585">
        <f>'2b. TOF AD'!F42</f>
        <v>283.93051051636655</v>
      </c>
      <c r="G17" s="585">
        <f>'2b. TOF AD'!G42</f>
        <v>5.8191238830599996</v>
      </c>
      <c r="H17" s="586">
        <f t="shared" ref="H17:H21" si="0">SUM(B17:G17)</f>
        <v>22330.879472752593</v>
      </c>
      <c r="J17" s="594" t="s">
        <v>6</v>
      </c>
      <c r="K17" s="588">
        <f t="shared" ref="K17:K21" si="1">(L17+M17)/2</f>
        <v>21996.399883913062</v>
      </c>
      <c r="L17" s="590">
        <f t="shared" ref="L17:L21" si="2">H17</f>
        <v>22330.879472752593</v>
      </c>
      <c r="M17" s="587">
        <f>C22</f>
        <v>21661.920295073531</v>
      </c>
      <c r="U17" t="s">
        <v>268</v>
      </c>
      <c r="W17" s="39">
        <f>'4c. F to NF correction'!P33+SUM(D16:G16)</f>
        <v>322.32062725226791</v>
      </c>
      <c r="X17" t="s">
        <v>323</v>
      </c>
    </row>
    <row r="18" spans="1:24" ht="16.5" x14ac:dyDescent="0.35">
      <c r="A18" s="383" t="s">
        <v>5</v>
      </c>
      <c r="B18" s="218">
        <f>'2a. Forest AD'!B38</f>
        <v>0</v>
      </c>
      <c r="C18" s="585">
        <f>'2b. TOF AD'!C43</f>
        <v>20.6719603638</v>
      </c>
      <c r="D18" s="585">
        <f>'2b. TOF AD'!D43</f>
        <v>10477.480868917819</v>
      </c>
      <c r="E18" s="585">
        <f>'2b. TOF AD'!E43</f>
        <v>0.36014195556599998</v>
      </c>
      <c r="F18" s="585">
        <f>'2b. TOF AD'!F43</f>
        <v>130.50829621584379</v>
      </c>
      <c r="G18" s="585">
        <f>'2b. TOF AD'!G43</f>
        <v>5.9925549316399998E-2</v>
      </c>
      <c r="H18" s="586">
        <f t="shared" si="0"/>
        <v>10629.081193002343</v>
      </c>
      <c r="J18" s="595" t="s">
        <v>5</v>
      </c>
      <c r="K18" s="588">
        <f t="shared" si="1"/>
        <v>10691.531184182688</v>
      </c>
      <c r="L18" s="590">
        <f t="shared" si="2"/>
        <v>10629.081193002343</v>
      </c>
      <c r="M18" s="589">
        <f>D22</f>
        <v>10753.981175363031</v>
      </c>
      <c r="U18" t="s">
        <v>269</v>
      </c>
      <c r="W18" s="241">
        <f>'4c. F to NF correction'!P39+SUM(B18:B21)</f>
        <v>339.15235803193639</v>
      </c>
      <c r="X18" t="s">
        <v>326</v>
      </c>
    </row>
    <row r="19" spans="1:24" x14ac:dyDescent="0.35">
      <c r="A19" s="380" t="s">
        <v>50</v>
      </c>
      <c r="B19" s="218">
        <f>'2a. Forest AD'!B39</f>
        <v>67.474167663575997</v>
      </c>
      <c r="C19" s="585">
        <f>'2b. TOF AD'!C44</f>
        <v>3.4789304138179995</v>
      </c>
      <c r="D19" s="585">
        <f>'2b. TOF AD'!D44</f>
        <v>0.11998847656299901</v>
      </c>
      <c r="E19" s="585">
        <f>'2b. TOF AD'!E44</f>
        <v>2970.6846402564156</v>
      </c>
      <c r="F19" s="585">
        <f>'2b. TOF AD'!F44</f>
        <v>2.0404862182598977</v>
      </c>
      <c r="G19" s="585">
        <f>'2b. TOF AD'!G44</f>
        <v>1.9183074585</v>
      </c>
      <c r="H19" s="586">
        <f t="shared" si="0"/>
        <v>3045.7165204871326</v>
      </c>
      <c r="J19" s="596" t="s">
        <v>50</v>
      </c>
      <c r="K19" s="588">
        <f t="shared" si="1"/>
        <v>3021.1315488379532</v>
      </c>
      <c r="L19" s="590">
        <f t="shared" si="2"/>
        <v>3045.7165204871326</v>
      </c>
      <c r="M19" s="587">
        <f>E22</f>
        <v>2996.5465771887743</v>
      </c>
      <c r="U19" t="s">
        <v>600</v>
      </c>
      <c r="V19">
        <f>B14</f>
        <v>2016</v>
      </c>
      <c r="W19" s="39">
        <f>W16-W17+W18</f>
        <v>44228.501276233721</v>
      </c>
    </row>
    <row r="20" spans="1:24" x14ac:dyDescent="0.35">
      <c r="A20" s="381" t="s">
        <v>51</v>
      </c>
      <c r="B20" s="218">
        <f>'2a. Forest AD'!B40</f>
        <v>0</v>
      </c>
      <c r="C20" s="585">
        <f>'2b. TOF AD'!C45</f>
        <v>0</v>
      </c>
      <c r="D20" s="585">
        <f>'2b. TOF AD'!D45</f>
        <v>0</v>
      </c>
      <c r="E20" s="585">
        <f>'2b. TOF AD'!E45</f>
        <v>0</v>
      </c>
      <c r="F20" s="585">
        <f>'2b. TOF AD'!F45</f>
        <v>50832.259141505245</v>
      </c>
      <c r="G20" s="585">
        <f>'2b. TOF AD'!G45</f>
        <v>0</v>
      </c>
      <c r="H20" s="586">
        <f t="shared" si="0"/>
        <v>50832.259141505245</v>
      </c>
      <c r="J20" s="597" t="s">
        <v>51</v>
      </c>
      <c r="K20" s="588">
        <f t="shared" si="1"/>
        <v>51120.071389808538</v>
      </c>
      <c r="L20" s="590">
        <f t="shared" si="2"/>
        <v>50832.259141505245</v>
      </c>
      <c r="M20" s="587">
        <f>F22</f>
        <v>51407.883638111838</v>
      </c>
      <c r="N20" s="39"/>
    </row>
    <row r="21" spans="1:24" ht="16.5" x14ac:dyDescent="0.35">
      <c r="A21" s="382" t="s">
        <v>52</v>
      </c>
      <c r="B21" s="218">
        <f>'2a. Forest AD'!B41</f>
        <v>0.12016177978499901</v>
      </c>
      <c r="C21" s="585">
        <f>'2b. TOF AD'!C46</f>
        <v>0</v>
      </c>
      <c r="D21" s="585">
        <f>'2b. TOF AD'!D46</f>
        <v>0</v>
      </c>
      <c r="E21" s="585">
        <f>'2b. TOF AD'!E46</f>
        <v>3.30249425659109</v>
      </c>
      <c r="F21" s="585">
        <f>'2b. TOF AD'!F46</f>
        <v>3.6017896240240987</v>
      </c>
      <c r="G21" s="585">
        <f>'2b. TOF AD'!G46</f>
        <v>209.53991985503899</v>
      </c>
      <c r="H21" s="586">
        <f t="shared" si="0"/>
        <v>216.56436551543916</v>
      </c>
      <c r="J21" s="598" t="s">
        <v>52</v>
      </c>
      <c r="K21" s="588">
        <f t="shared" si="1"/>
        <v>216.95082113067727</v>
      </c>
      <c r="L21" s="590">
        <f t="shared" si="2"/>
        <v>216.56436551543916</v>
      </c>
      <c r="M21" s="587">
        <f>G22</f>
        <v>217.33727674591537</v>
      </c>
      <c r="U21" t="s">
        <v>324</v>
      </c>
      <c r="W21" s="39">
        <f>'4c. F to NF correction'!P34</f>
        <v>0</v>
      </c>
    </row>
    <row r="22" spans="1:24" ht="16.5" x14ac:dyDescent="0.35">
      <c r="A22" s="124" t="s">
        <v>92</v>
      </c>
      <c r="B22" s="584">
        <f>SUM(B16:B21)</f>
        <v>44228.501276233721</v>
      </c>
      <c r="C22" s="586">
        <f t="shared" ref="C22:H22" si="3">SUM(C16:C21)</f>
        <v>21661.920295073531</v>
      </c>
      <c r="D22" s="586">
        <f t="shared" si="3"/>
        <v>10753.981175363031</v>
      </c>
      <c r="E22" s="586">
        <f t="shared" si="3"/>
        <v>2996.5465771887743</v>
      </c>
      <c r="F22" s="586">
        <f t="shared" si="3"/>
        <v>51407.883638111838</v>
      </c>
      <c r="G22" s="586">
        <f t="shared" si="3"/>
        <v>217.33727674591537</v>
      </c>
      <c r="H22" s="586">
        <f t="shared" si="3"/>
        <v>131266.17023871679</v>
      </c>
      <c r="U22" t="s">
        <v>325</v>
      </c>
      <c r="W22" s="39">
        <f>'4c. F to NF correction'!P40</f>
        <v>0</v>
      </c>
    </row>
    <row r="25" spans="1:24" x14ac:dyDescent="0.35">
      <c r="J25" t="s">
        <v>593</v>
      </c>
    </row>
    <row r="27" spans="1:24" x14ac:dyDescent="0.35">
      <c r="J27" t="s">
        <v>594</v>
      </c>
      <c r="K27" s="39">
        <f>C16-B17</f>
        <v>-127.9373786252321</v>
      </c>
      <c r="L27" s="39"/>
      <c r="U27" s="234" t="s">
        <v>301</v>
      </c>
      <c r="V27" s="234"/>
      <c r="W27" s="234"/>
      <c r="X27" s="234"/>
    </row>
    <row r="28" spans="1:24" x14ac:dyDescent="0.35">
      <c r="J28" t="s">
        <v>595</v>
      </c>
      <c r="K28" s="39">
        <f>E16-B19</f>
        <v>-46.534465490737603</v>
      </c>
      <c r="L28" s="39"/>
      <c r="U28" t="s">
        <v>302</v>
      </c>
      <c r="W28" s="39">
        <f>W17</f>
        <v>322.32062725226791</v>
      </c>
    </row>
    <row r="29" spans="1:24" x14ac:dyDescent="0.35">
      <c r="J29" t="s">
        <v>596</v>
      </c>
      <c r="K29" s="39">
        <f>F16-B20</f>
        <v>155.54341403209824</v>
      </c>
      <c r="L29" s="39"/>
      <c r="U29" t="s">
        <v>303</v>
      </c>
      <c r="W29" s="39">
        <f>'2a. Forest AD'!F53</f>
        <v>0</v>
      </c>
    </row>
    <row r="30" spans="1:24" x14ac:dyDescent="0.35">
      <c r="J30" t="s">
        <v>597</v>
      </c>
      <c r="K30" s="39">
        <f>D16-B18</f>
        <v>2.2168610839879901</v>
      </c>
      <c r="L30" s="39"/>
      <c r="U30" t="s">
        <v>304</v>
      </c>
      <c r="W30" s="39">
        <f>'2a. Forest AD'!C53</f>
        <v>0</v>
      </c>
    </row>
    <row r="31" spans="1:24" x14ac:dyDescent="0.35">
      <c r="K31" s="39">
        <f>SUM(K27:K30)</f>
        <v>-16.711568999883472</v>
      </c>
      <c r="L31" s="600">
        <f>K31/H16</f>
        <v>-3.7799000064230314E-4</v>
      </c>
      <c r="U31" t="s">
        <v>305</v>
      </c>
      <c r="W31" s="39">
        <f>'2a. Forest AD'!D53</f>
        <v>0</v>
      </c>
    </row>
    <row r="32" spans="1:24" x14ac:dyDescent="0.35">
      <c r="U32" t="s">
        <v>307</v>
      </c>
      <c r="W32" s="241">
        <f>'2a. Forest AD'!E53</f>
        <v>0</v>
      </c>
    </row>
    <row r="33" spans="1:23" x14ac:dyDescent="0.35">
      <c r="U33" t="s">
        <v>306</v>
      </c>
      <c r="W33" s="39">
        <f>SUM(W28:W32)</f>
        <v>322.32062725226791</v>
      </c>
    </row>
    <row r="35" spans="1:23" x14ac:dyDescent="0.35">
      <c r="A35" t="s">
        <v>603</v>
      </c>
    </row>
    <row r="36" spans="1:23" x14ac:dyDescent="0.35">
      <c r="B36">
        <f>B14</f>
        <v>2016</v>
      </c>
      <c r="N36" s="12"/>
    </row>
    <row r="37" spans="1:23" x14ac:dyDescent="0.35">
      <c r="A37" s="601">
        <f>A15</f>
        <v>2011</v>
      </c>
      <c r="B37" s="593" t="s">
        <v>4</v>
      </c>
      <c r="C37" s="594" t="s">
        <v>6</v>
      </c>
      <c r="D37" s="602" t="s">
        <v>5</v>
      </c>
      <c r="E37" s="596" t="s">
        <v>50</v>
      </c>
      <c r="F37" s="597" t="s">
        <v>51</v>
      </c>
      <c r="G37" s="598" t="s">
        <v>52</v>
      </c>
      <c r="H37" s="311" t="s">
        <v>92</v>
      </c>
    </row>
    <row r="38" spans="1:23" ht="29" x14ac:dyDescent="0.35">
      <c r="A38" s="593" t="s">
        <v>4</v>
      </c>
      <c r="B38" s="271"/>
      <c r="C38" s="271"/>
      <c r="D38" s="271"/>
      <c r="E38" s="271"/>
      <c r="F38" s="271"/>
      <c r="G38" s="271"/>
      <c r="H38" s="274"/>
      <c r="K38" s="591">
        <f>A37</f>
        <v>2011</v>
      </c>
      <c r="L38" s="613">
        <f>B36</f>
        <v>2016</v>
      </c>
      <c r="M38" s="592" t="s">
        <v>604</v>
      </c>
      <c r="N38" t="s">
        <v>605</v>
      </c>
    </row>
    <row r="39" spans="1:23" x14ac:dyDescent="0.35">
      <c r="A39" s="594" t="s">
        <v>6</v>
      </c>
      <c r="B39" s="272"/>
      <c r="C39" s="603">
        <f>'2b. TOF AD'!C80</f>
        <v>4812.0137000000013</v>
      </c>
      <c r="D39" s="603">
        <f>'2b. TOF AD'!D80</f>
        <v>40.695400000000006</v>
      </c>
      <c r="E39" s="603">
        <f>'2b. TOF AD'!E80</f>
        <v>0.4022</v>
      </c>
      <c r="F39" s="603">
        <f>'2b. TOF AD'!F80</f>
        <v>23.346100000000007</v>
      </c>
      <c r="G39" s="603">
        <f>'2b. TOF AD'!G80</f>
        <v>0.3075</v>
      </c>
      <c r="H39" s="603">
        <f>'2b. TOF AD'!H80</f>
        <v>5053.4525000000012</v>
      </c>
      <c r="J39" s="594" t="s">
        <v>6</v>
      </c>
      <c r="K39" s="590">
        <f>H39</f>
        <v>5053.4525000000012</v>
      </c>
      <c r="L39" s="587">
        <f>C44</f>
        <v>4813.3392000000013</v>
      </c>
      <c r="M39" s="588">
        <f>(K39+L39)/2</f>
        <v>4933.3958500000008</v>
      </c>
      <c r="N39" s="608">
        <f>M39/K17</f>
        <v>0.22428196777819132</v>
      </c>
    </row>
    <row r="40" spans="1:23" x14ac:dyDescent="0.35">
      <c r="A40" s="595" t="s">
        <v>5</v>
      </c>
      <c r="B40" s="272"/>
      <c r="C40" s="603">
        <f>'2b. TOF AD'!C81</f>
        <v>0.43280000000000002</v>
      </c>
      <c r="D40" s="603">
        <f>'2b. TOF AD'!D81</f>
        <v>840.37210000000005</v>
      </c>
      <c r="E40" s="603">
        <f>'2b. TOF AD'!E81</f>
        <v>0.1865</v>
      </c>
      <c r="F40" s="603">
        <f>'2b. TOF AD'!F81</f>
        <v>3.9656000000000002</v>
      </c>
      <c r="G40" s="603">
        <f>'2b. TOF AD'!G81</f>
        <v>9.4300000000000009E-2</v>
      </c>
      <c r="H40" s="603">
        <f>'2b. TOF AD'!H81</f>
        <v>845.05130000000008</v>
      </c>
      <c r="J40" s="595" t="s">
        <v>5</v>
      </c>
      <c r="K40" s="590">
        <f>H40</f>
        <v>845.05130000000008</v>
      </c>
      <c r="L40" s="589">
        <f>D44</f>
        <v>881.06750000000011</v>
      </c>
      <c r="M40" s="588">
        <f>(K40+L40)/2</f>
        <v>863.0594000000001</v>
      </c>
      <c r="N40" s="608">
        <f>M40/K18</f>
        <v>8.0723648010009197E-2</v>
      </c>
    </row>
    <row r="41" spans="1:23" x14ac:dyDescent="0.35">
      <c r="A41" s="596" t="s">
        <v>50</v>
      </c>
      <c r="B41" s="272"/>
      <c r="C41" s="603">
        <f>'2b. TOF AD'!C82</f>
        <v>0.89270000000000016</v>
      </c>
      <c r="D41" s="603">
        <f>'2b. TOF AD'!D82</f>
        <v>0</v>
      </c>
      <c r="E41" s="603">
        <f>'2b. TOF AD'!E82</f>
        <v>323.60180000000003</v>
      </c>
      <c r="F41" s="603">
        <f>'2b. TOF AD'!F82</f>
        <v>0.27020000000000005</v>
      </c>
      <c r="G41" s="603">
        <f>'2b. TOF AD'!G82</f>
        <v>4.9399999999999999E-2</v>
      </c>
      <c r="H41" s="603">
        <f>'2b. TOF AD'!H82</f>
        <v>364.97120000000001</v>
      </c>
      <c r="J41" s="596" t="s">
        <v>50</v>
      </c>
      <c r="K41" s="590">
        <f>H41</f>
        <v>364.97120000000001</v>
      </c>
      <c r="L41" s="587">
        <f>E44</f>
        <v>324.21550000000002</v>
      </c>
      <c r="M41" s="588">
        <f>(K41+L41)/2</f>
        <v>344.59334999999999</v>
      </c>
      <c r="N41" s="608">
        <f>M41/K19</f>
        <v>0.11406102131916243</v>
      </c>
    </row>
    <row r="42" spans="1:23" x14ac:dyDescent="0.35">
      <c r="A42" s="597" t="s">
        <v>51</v>
      </c>
      <c r="B42" s="271"/>
      <c r="C42" s="603">
        <f>'2b. TOF AD'!C83</f>
        <v>0</v>
      </c>
      <c r="D42" s="603">
        <f>'2b. TOF AD'!D83</f>
        <v>0</v>
      </c>
      <c r="E42" s="603">
        <f>'2b. TOF AD'!E83</f>
        <v>0</v>
      </c>
      <c r="F42" s="603">
        <f>'2b. TOF AD'!F83</f>
        <v>23489.7523</v>
      </c>
      <c r="G42" s="603">
        <f>'2b. TOF AD'!G83</f>
        <v>0</v>
      </c>
      <c r="H42" s="603">
        <f>'2b. TOF AD'!H83</f>
        <v>23489.7523</v>
      </c>
      <c r="J42" s="597" t="s">
        <v>51</v>
      </c>
      <c r="K42" s="590">
        <f>H42</f>
        <v>23489.7523</v>
      </c>
      <c r="L42" s="587">
        <f>F44</f>
        <v>23517.808400000002</v>
      </c>
      <c r="M42" s="588">
        <f>(K42+L42)/2</f>
        <v>23503.780350000001</v>
      </c>
      <c r="N42" s="608">
        <f>M42/K20</f>
        <v>0.4597759688318</v>
      </c>
    </row>
    <row r="43" spans="1:23" x14ac:dyDescent="0.35">
      <c r="A43" s="598" t="s">
        <v>52</v>
      </c>
      <c r="B43" s="272"/>
      <c r="C43" s="603">
        <f>'2b. TOF AD'!C84</f>
        <v>0</v>
      </c>
      <c r="D43" s="603">
        <f>'2b. TOF AD'!D84</f>
        <v>0</v>
      </c>
      <c r="E43" s="603">
        <f>'2b. TOF AD'!E84</f>
        <v>2.5000000000000001E-2</v>
      </c>
      <c r="F43" s="603">
        <f>'2b. TOF AD'!F84</f>
        <v>0.47420000000000001</v>
      </c>
      <c r="G43" s="603">
        <f>'2b. TOF AD'!G84</f>
        <v>26.068000000000001</v>
      </c>
      <c r="H43" s="603">
        <f>'2b. TOF AD'!H84</f>
        <v>26.654300000000003</v>
      </c>
      <c r="J43" s="598" t="s">
        <v>52</v>
      </c>
      <c r="K43" s="590">
        <f>H43</f>
        <v>26.654300000000003</v>
      </c>
      <c r="L43" s="587">
        <f>G44</f>
        <v>26.519200000000001</v>
      </c>
      <c r="M43" s="588">
        <f>(K43+L43)/2</f>
        <v>26.586750000000002</v>
      </c>
      <c r="N43" s="608">
        <f>M43/K21</f>
        <v>0.12254735825123172</v>
      </c>
    </row>
    <row r="44" spans="1:23" x14ac:dyDescent="0.35">
      <c r="A44" s="124" t="s">
        <v>92</v>
      </c>
      <c r="B44" s="274"/>
      <c r="C44" s="603">
        <f t="shared" ref="C44:H44" si="4">SUM(C39:C43)</f>
        <v>4813.3392000000013</v>
      </c>
      <c r="D44" s="603">
        <f t="shared" si="4"/>
        <v>881.06750000000011</v>
      </c>
      <c r="E44" s="603">
        <f t="shared" si="4"/>
        <v>324.21550000000002</v>
      </c>
      <c r="F44" s="603">
        <f t="shared" si="4"/>
        <v>23517.808400000002</v>
      </c>
      <c r="G44" s="603">
        <f t="shared" si="4"/>
        <v>26.519200000000001</v>
      </c>
      <c r="H44" s="603">
        <f t="shared" si="4"/>
        <v>29779.881600000001</v>
      </c>
      <c r="J44" s="5" t="s">
        <v>77</v>
      </c>
      <c r="M44" s="39">
        <f>SUM(M39:M43)</f>
        <v>29671.415700000001</v>
      </c>
    </row>
    <row r="46" spans="1:23" ht="29" x14ac:dyDescent="0.35">
      <c r="A46" t="s">
        <v>602</v>
      </c>
      <c r="L46" s="12" t="s">
        <v>626</v>
      </c>
      <c r="M46" s="592" t="s">
        <v>604</v>
      </c>
      <c r="N46" t="s">
        <v>605</v>
      </c>
    </row>
    <row r="47" spans="1:23" x14ac:dyDescent="0.35">
      <c r="B47">
        <f>B14</f>
        <v>2016</v>
      </c>
      <c r="L47" s="594" t="s">
        <v>6</v>
      </c>
      <c r="M47" s="39">
        <f t="shared" ref="M47:N51" si="5">M39</f>
        <v>4933.3958500000008</v>
      </c>
      <c r="N47" s="615">
        <f t="shared" si="5"/>
        <v>0.22428196777819132</v>
      </c>
    </row>
    <row r="48" spans="1:23" x14ac:dyDescent="0.35">
      <c r="A48" s="601">
        <f>A15</f>
        <v>2011</v>
      </c>
      <c r="B48" s="593" t="s">
        <v>4</v>
      </c>
      <c r="C48" s="594" t="s">
        <v>6</v>
      </c>
      <c r="D48" s="602" t="s">
        <v>5</v>
      </c>
      <c r="E48" s="596" t="s">
        <v>50</v>
      </c>
      <c r="F48" s="597" t="s">
        <v>51</v>
      </c>
      <c r="G48" s="598" t="s">
        <v>52</v>
      </c>
      <c r="H48" s="311" t="s">
        <v>92</v>
      </c>
      <c r="L48" s="595" t="s">
        <v>5</v>
      </c>
      <c r="M48" s="39">
        <f t="shared" si="5"/>
        <v>863.0594000000001</v>
      </c>
      <c r="N48" s="615">
        <f t="shared" si="5"/>
        <v>8.0723648010009197E-2</v>
      </c>
    </row>
    <row r="49" spans="1:14" x14ac:dyDescent="0.35">
      <c r="A49" s="593" t="s">
        <v>4</v>
      </c>
      <c r="B49" s="271"/>
      <c r="C49" s="271"/>
      <c r="D49" s="271"/>
      <c r="E49" s="271"/>
      <c r="F49" s="271"/>
      <c r="G49" s="271"/>
      <c r="H49" s="274"/>
      <c r="L49" s="596" t="s">
        <v>50</v>
      </c>
      <c r="M49" s="39">
        <f t="shared" si="5"/>
        <v>344.59334999999999</v>
      </c>
      <c r="N49" s="615">
        <f t="shared" si="5"/>
        <v>0.11406102131916243</v>
      </c>
    </row>
    <row r="50" spans="1:14" x14ac:dyDescent="0.35">
      <c r="A50" s="594" t="s">
        <v>6</v>
      </c>
      <c r="B50" s="272"/>
      <c r="C50" s="603">
        <f>'2b. TOF AD'!C119</f>
        <v>220.68630000000002</v>
      </c>
      <c r="D50" s="603">
        <f>'2b. TOF AD'!D119</f>
        <v>1.2397000000000002</v>
      </c>
      <c r="E50" s="603">
        <f>'2b. TOF AD'!E119</f>
        <v>7.3000000000000009E-3</v>
      </c>
      <c r="F50" s="603">
        <f>'2b. TOF AD'!F119</f>
        <v>54.284800000000004</v>
      </c>
      <c r="G50" s="603">
        <f>'2b. TOF AD'!G119</f>
        <v>2.8500000000000001E-2</v>
      </c>
      <c r="H50" s="603">
        <f>'2b. TOF AD'!H119</f>
        <v>276.2466</v>
      </c>
      <c r="L50" s="597" t="s">
        <v>51</v>
      </c>
      <c r="M50" s="39">
        <f t="shared" si="5"/>
        <v>23503.780350000001</v>
      </c>
      <c r="N50" s="615">
        <f t="shared" si="5"/>
        <v>0.4597759688318</v>
      </c>
    </row>
    <row r="51" spans="1:14" x14ac:dyDescent="0.35">
      <c r="A51" s="595" t="s">
        <v>5</v>
      </c>
      <c r="B51" s="272"/>
      <c r="C51" s="603">
        <f>'2b. TOF AD'!C120</f>
        <v>1.6000000000000001E-3</v>
      </c>
      <c r="D51" s="603">
        <f>'2b. TOF AD'!D120</f>
        <v>28.810400000000001</v>
      </c>
      <c r="E51" s="603">
        <f>'2b. TOF AD'!E120</f>
        <v>2.1000000000000003E-3</v>
      </c>
      <c r="F51" s="603">
        <f>'2b. TOF AD'!F120</f>
        <v>6.3552999999999997</v>
      </c>
      <c r="G51" s="603">
        <f>'2b. TOF AD'!G120</f>
        <v>9.0000000000000008E-4</v>
      </c>
      <c r="H51" s="603">
        <f>'2b. TOF AD'!H120</f>
        <v>35.170299999999997</v>
      </c>
      <c r="L51" s="598" t="s">
        <v>52</v>
      </c>
      <c r="M51" s="39">
        <f t="shared" si="5"/>
        <v>26.586750000000002</v>
      </c>
      <c r="N51" s="615">
        <f t="shared" si="5"/>
        <v>0.12254735825123172</v>
      </c>
    </row>
    <row r="52" spans="1:14" x14ac:dyDescent="0.35">
      <c r="A52" s="596" t="s">
        <v>50</v>
      </c>
      <c r="B52" s="272"/>
      <c r="C52" s="603">
        <f>'2b. TOF AD'!C121</f>
        <v>5.0900000000000001E-2</v>
      </c>
      <c r="D52" s="603">
        <f>'2b. TOF AD'!D121</f>
        <v>0</v>
      </c>
      <c r="E52" s="603">
        <f>'2b. TOF AD'!E121</f>
        <v>21.957999999999998</v>
      </c>
      <c r="F52" s="603">
        <f>'2b. TOF AD'!F121</f>
        <v>0.97340000000000004</v>
      </c>
      <c r="G52" s="603">
        <f>'2b. TOF AD'!G121</f>
        <v>4.0000000000000002E-4</v>
      </c>
      <c r="H52" s="603">
        <f>'2b. TOF AD'!H121</f>
        <v>22.982699999999998</v>
      </c>
      <c r="J52" s="604"/>
      <c r="K52" s="605"/>
      <c r="L52" s="606"/>
      <c r="M52" s="607"/>
    </row>
    <row r="53" spans="1:14" x14ac:dyDescent="0.35">
      <c r="A53" s="597" t="s">
        <v>51</v>
      </c>
      <c r="B53" s="271"/>
      <c r="C53" s="603">
        <f>'2b. TOF AD'!C122</f>
        <v>0</v>
      </c>
      <c r="D53" s="603">
        <f>'2b. TOF AD'!D122</f>
        <v>0</v>
      </c>
      <c r="E53" s="603">
        <f>'2b. TOF AD'!E122</f>
        <v>0</v>
      </c>
      <c r="F53" s="603">
        <f>'2b. TOF AD'!F122</f>
        <v>1460.8146045444728</v>
      </c>
      <c r="G53" s="603">
        <f>'2b. TOF AD'!G122</f>
        <v>0</v>
      </c>
      <c r="H53" s="603">
        <f>'2b. TOF AD'!H122</f>
        <v>1460.8146045444728</v>
      </c>
      <c r="J53" s="604"/>
      <c r="K53" s="605"/>
      <c r="L53" s="606"/>
      <c r="M53" s="607"/>
    </row>
    <row r="54" spans="1:14" x14ac:dyDescent="0.35">
      <c r="A54" s="598" t="s">
        <v>52</v>
      </c>
      <c r="B54" s="272"/>
      <c r="C54" s="603">
        <f>'2b. TOF AD'!C123</f>
        <v>0</v>
      </c>
      <c r="D54" s="603">
        <f>'2b. TOF AD'!D123</f>
        <v>0</v>
      </c>
      <c r="E54" s="603">
        <f>'2b. TOF AD'!E123</f>
        <v>3.0000000000000003E-4</v>
      </c>
      <c r="F54" s="603">
        <f>'2b. TOF AD'!F123</f>
        <v>0.89300000000000002</v>
      </c>
      <c r="G54" s="603">
        <f>'2b. TOF AD'!G123</f>
        <v>1.6375000000000002</v>
      </c>
      <c r="H54" s="603">
        <f>'2b. TOF AD'!H123</f>
        <v>2.5308000000000002</v>
      </c>
      <c r="J54" s="604"/>
      <c r="K54" s="605"/>
      <c r="L54" s="606"/>
      <c r="M54" s="607"/>
    </row>
    <row r="55" spans="1:14" x14ac:dyDescent="0.35">
      <c r="A55" s="124" t="s">
        <v>92</v>
      </c>
      <c r="B55" s="274"/>
      <c r="C55" s="603">
        <f t="shared" ref="C55:H55" si="6">SUM(C50:C54)</f>
        <v>220.73880000000003</v>
      </c>
      <c r="D55" s="603">
        <f t="shared" si="6"/>
        <v>30.0501</v>
      </c>
      <c r="E55" s="603">
        <f t="shared" si="6"/>
        <v>21.967699999999997</v>
      </c>
      <c r="F55" s="603">
        <f t="shared" si="6"/>
        <v>1523.3211045444727</v>
      </c>
      <c r="G55" s="603">
        <f t="shared" si="6"/>
        <v>1.6673000000000002</v>
      </c>
      <c r="H55" s="603">
        <f t="shared" si="6"/>
        <v>1797.7450045444727</v>
      </c>
    </row>
    <row r="58" spans="1:14" ht="15.5" x14ac:dyDescent="0.35">
      <c r="A58" s="201" t="s">
        <v>611</v>
      </c>
    </row>
    <row r="60" spans="1:14" ht="16.5" x14ac:dyDescent="0.45">
      <c r="A60" t="s">
        <v>606</v>
      </c>
      <c r="K60" t="s">
        <v>612</v>
      </c>
    </row>
    <row r="61" spans="1:14" x14ac:dyDescent="0.35">
      <c r="J61" t="s">
        <v>356</v>
      </c>
      <c r="K61" s="36">
        <f>B64/1000000*3.67</f>
        <v>0</v>
      </c>
    </row>
    <row r="62" spans="1:14" x14ac:dyDescent="0.35">
      <c r="B62" s="642" t="s">
        <v>365</v>
      </c>
      <c r="C62" s="643"/>
      <c r="D62" s="643"/>
      <c r="E62" s="643"/>
      <c r="F62" s="644" t="s">
        <v>242</v>
      </c>
      <c r="G62" s="646" t="s">
        <v>77</v>
      </c>
      <c r="J62" t="s">
        <v>357</v>
      </c>
      <c r="K62" s="36">
        <f>C64/1000000*3.67</f>
        <v>3.49452629</v>
      </c>
    </row>
    <row r="63" spans="1:14" ht="29" x14ac:dyDescent="0.35">
      <c r="A63" s="82"/>
      <c r="B63" s="452" t="s">
        <v>356</v>
      </c>
      <c r="C63" s="453" t="s">
        <v>357</v>
      </c>
      <c r="D63" s="453" t="s">
        <v>358</v>
      </c>
      <c r="E63" s="453" t="s">
        <v>359</v>
      </c>
      <c r="F63" s="645"/>
      <c r="G63" s="647"/>
      <c r="J63" t="s">
        <v>358</v>
      </c>
      <c r="K63" s="36">
        <f>D64/1000000*3.67</f>
        <v>17.379905229999999</v>
      </c>
    </row>
    <row r="64" spans="1:14" x14ac:dyDescent="0.35">
      <c r="A64" t="s">
        <v>360</v>
      </c>
      <c r="B64" s="112">
        <f>'5. Other calcs'!B38</f>
        <v>0</v>
      </c>
      <c r="C64" s="112">
        <f>'5. Other calcs'!C38</f>
        <v>952187</v>
      </c>
      <c r="D64" s="112">
        <f>'5. Other calcs'!D38</f>
        <v>4735669</v>
      </c>
      <c r="E64" s="112">
        <f>'5. Other calcs'!E38</f>
        <v>2550865</v>
      </c>
      <c r="F64" s="112">
        <f>'5. Other calcs'!B46</f>
        <v>3067327.8048</v>
      </c>
      <c r="G64" s="112">
        <f>SUM(B64:F64)</f>
        <v>11306048.8048</v>
      </c>
      <c r="J64" t="s">
        <v>359</v>
      </c>
      <c r="K64" s="36">
        <f>E64/1000000*3.67</f>
        <v>9.36167455</v>
      </c>
    </row>
    <row r="65" spans="1:11" x14ac:dyDescent="0.35">
      <c r="A65" t="s">
        <v>366</v>
      </c>
      <c r="B65" s="112">
        <f>'5. Other calcs'!B39</f>
        <v>0</v>
      </c>
      <c r="C65" s="112">
        <f>'5. Other calcs'!C39</f>
        <v>2874</v>
      </c>
      <c r="D65" s="112">
        <f>'5. Other calcs'!D39</f>
        <v>21162</v>
      </c>
      <c r="E65" s="112">
        <f>'5. Other calcs'!E39</f>
        <v>16625</v>
      </c>
      <c r="F65" s="112">
        <f>'5. Other calcs'!B47</f>
        <v>29779.881600000001</v>
      </c>
      <c r="G65" s="112">
        <f>SUM(B65:F65)</f>
        <v>70440.881599999993</v>
      </c>
      <c r="J65" t="s">
        <v>242</v>
      </c>
      <c r="K65" s="36">
        <f>F64/1000000*3.67</f>
        <v>11.257093043616001</v>
      </c>
    </row>
    <row r="66" spans="1:11" x14ac:dyDescent="0.35">
      <c r="A66" t="s">
        <v>362</v>
      </c>
      <c r="B66" s="393">
        <f>'5. Other calcs'!B40</f>
        <v>0</v>
      </c>
      <c r="C66" s="393">
        <f>'5. Other calcs'!C40</f>
        <v>331.31071677105081</v>
      </c>
      <c r="D66" s="393">
        <f>'5. Other calcs'!D40</f>
        <v>223.78173140534921</v>
      </c>
      <c r="E66" s="393">
        <f>'5. Other calcs'!E40</f>
        <v>153.43548872180452</v>
      </c>
      <c r="F66" s="112">
        <f>'5. Other calcs'!B48</f>
        <v>103</v>
      </c>
      <c r="G66" s="393">
        <f>G64/G65</f>
        <v>160.50407871101945</v>
      </c>
      <c r="J66" s="5" t="s">
        <v>77</v>
      </c>
      <c r="K66" s="36">
        <f>SUM(K61:K65)</f>
        <v>41.493199113616001</v>
      </c>
    </row>
    <row r="67" spans="1:11" x14ac:dyDescent="0.35">
      <c r="A67" s="180"/>
    </row>
    <row r="68" spans="1:11" ht="16.5" x14ac:dyDescent="0.35">
      <c r="A68" t="s">
        <v>607</v>
      </c>
      <c r="F68" s="614">
        <f>SUM(C64:E64)</f>
        <v>8238721</v>
      </c>
      <c r="H68" s="374"/>
      <c r="K68" s="36">
        <f>SUM(K62:K64)</f>
        <v>30.236106069999998</v>
      </c>
    </row>
    <row r="70" spans="1:11" x14ac:dyDescent="0.35">
      <c r="A70" s="180"/>
      <c r="B70">
        <f>Intro!$B$23</f>
        <v>2016</v>
      </c>
    </row>
    <row r="71" spans="1:11" x14ac:dyDescent="0.35">
      <c r="A71" s="376">
        <f>Intro!$B$22</f>
        <v>2011</v>
      </c>
      <c r="B71" s="377" t="s">
        <v>4</v>
      </c>
      <c r="C71" s="378" t="s">
        <v>6</v>
      </c>
      <c r="D71" s="379" t="s">
        <v>5</v>
      </c>
      <c r="E71" s="380" t="s">
        <v>50</v>
      </c>
      <c r="F71" s="381" t="s">
        <v>51</v>
      </c>
      <c r="G71" s="382" t="s">
        <v>52</v>
      </c>
      <c r="H71" s="270" t="s">
        <v>77</v>
      </c>
    </row>
    <row r="72" spans="1:11" x14ac:dyDescent="0.35">
      <c r="A72" s="377" t="s">
        <v>4</v>
      </c>
      <c r="B72" s="116">
        <f>'4a. Forest C &amp; CO2 calcs'!B103*(Intro!$B$23-Intro!$B$22)</f>
        <v>-1392455.8326062304</v>
      </c>
      <c r="C72" s="116">
        <f>'4a. Forest C &amp; CO2 calcs'!C103*(Intro!$B$23-Intro!$B$22)</f>
        <v>57238.628279251352</v>
      </c>
      <c r="D72" s="116">
        <f>'4a. Forest C &amp; CO2 calcs'!D103*(Intro!$B$23-Intro!$B$22)</f>
        <v>1048.052939140272</v>
      </c>
      <c r="E72" s="116">
        <f>'4a. Forest C &amp; CO2 calcs'!E103*(Intro!$B$23-Intro!$B$22)</f>
        <v>5963.8790987361772</v>
      </c>
      <c r="F72" s="116">
        <f>'4a. Forest C &amp; CO2 calcs'!F103*(Intro!$B$23-Intro!$B$22)</f>
        <v>81855.794521424512</v>
      </c>
      <c r="G72" s="116">
        <f>'4a. Forest C &amp; CO2 calcs'!G103*(Intro!$B$23-Intro!$B$22)</f>
        <v>0</v>
      </c>
      <c r="H72" s="582">
        <f>SUM(B72:G72)</f>
        <v>-1246349.4777676782</v>
      </c>
    </row>
    <row r="73" spans="1:11" x14ac:dyDescent="0.35">
      <c r="A73" s="378" t="s">
        <v>6</v>
      </c>
      <c r="B73" s="116">
        <f>'4a. Forest C &amp; CO2 calcs'!B104*(Intro!$B$23-Intro!$B$22)</f>
        <v>-15156.933413981191</v>
      </c>
      <c r="C73" s="581">
        <f>'4b. TOF calcs'!C49</f>
        <v>-228071.62731833346</v>
      </c>
      <c r="D73" s="581">
        <f>'4b. TOF calcs'!D49</f>
        <v>-2165.4772699999999</v>
      </c>
      <c r="E73" s="581">
        <f>'4b. TOF calcs'!E49</f>
        <v>-23.272076666666663</v>
      </c>
      <c r="F73" s="581">
        <f>'4b. TOF calcs'!F49</f>
        <v>18990.677695000002</v>
      </c>
      <c r="G73" s="581">
        <f>'4b. TOF calcs'!G49</f>
        <v>-9.1368749999999981</v>
      </c>
      <c r="H73" s="583">
        <f t="shared" ref="H73:H77" si="7">SUM(B73:G73)</f>
        <v>-226435.76925898134</v>
      </c>
    </row>
    <row r="74" spans="1:11" x14ac:dyDescent="0.35">
      <c r="A74" s="383" t="s">
        <v>5</v>
      </c>
      <c r="B74" s="116">
        <f>'4a. Forest C &amp; CO2 calcs'!B105*(Intro!$B$23-Intro!$B$22)</f>
        <v>0</v>
      </c>
      <c r="C74" s="581">
        <f>'4b. TOF calcs'!C50</f>
        <v>-27.405106666666669</v>
      </c>
      <c r="D74" s="581">
        <f>'4b. TOF calcs'!D50</f>
        <v>-43505.353338333334</v>
      </c>
      <c r="E74" s="581">
        <f>'4b. TOF calcs'!E50</f>
        <v>-11.276558333333332</v>
      </c>
      <c r="F74" s="581">
        <f>'4b. TOF calcs'!F50</f>
        <v>2143.5445533333336</v>
      </c>
      <c r="G74" s="581">
        <f>'4b. TOF calcs'!G50</f>
        <v>-5.7628816666666678</v>
      </c>
      <c r="H74" s="583">
        <f t="shared" si="7"/>
        <v>-41406.253331666667</v>
      </c>
    </row>
    <row r="75" spans="1:11" x14ac:dyDescent="0.35">
      <c r="A75" s="380" t="s">
        <v>50</v>
      </c>
      <c r="B75" s="116">
        <f>'4a. Forest C &amp; CO2 calcs'!B106*(Intro!$B$23-Intro!$B$22)</f>
        <v>-3012.474271281244</v>
      </c>
      <c r="C75" s="581">
        <f>'4b. TOF calcs'!C51</f>
        <v>-38.549335000000013</v>
      </c>
      <c r="D75" s="581">
        <f>'4b. TOF calcs'!D51</f>
        <v>0</v>
      </c>
      <c r="E75" s="581">
        <f>'4b. TOF calcs'!E51</f>
        <v>-12649.625156666669</v>
      </c>
      <c r="F75" s="581">
        <f>'4b. TOF calcs'!F51</f>
        <v>350.13428999999996</v>
      </c>
      <c r="G75" s="581">
        <f>'4b. TOF calcs'!G51</f>
        <v>-3.0459366666666665</v>
      </c>
      <c r="H75" s="583">
        <f t="shared" si="7"/>
        <v>-15353.56040961458</v>
      </c>
    </row>
    <row r="76" spans="1:11" x14ac:dyDescent="0.35">
      <c r="A76" s="381" t="s">
        <v>51</v>
      </c>
      <c r="B76" s="116">
        <f>'4a. Forest C &amp; CO2 calcs'!B107*(Intro!$B$23-Intro!$B$22)</f>
        <v>0</v>
      </c>
      <c r="C76" s="581">
        <f>'4b. TOF calcs'!C52</f>
        <v>0</v>
      </c>
      <c r="D76" s="581">
        <f>'4b. TOF calcs'!D52</f>
        <v>0</v>
      </c>
      <c r="E76" s="581">
        <f>'4b. TOF calcs'!E52</f>
        <v>0</v>
      </c>
      <c r="F76" s="581">
        <f>'4b. TOF calcs'!F52</f>
        <v>-968477.48736537097</v>
      </c>
      <c r="G76" s="581">
        <f>'4b. TOF calcs'!G52</f>
        <v>0</v>
      </c>
      <c r="H76" s="583">
        <f t="shared" si="7"/>
        <v>-968477.48736537097</v>
      </c>
    </row>
    <row r="77" spans="1:11" x14ac:dyDescent="0.35">
      <c r="A77" s="382" t="s">
        <v>52</v>
      </c>
      <c r="B77" s="116">
        <f>'4a. Forest C &amp; CO2 calcs'!B108*(Intro!$B$23-Intro!$B$22)</f>
        <v>-7.0338149122485234</v>
      </c>
      <c r="C77" s="581">
        <f>'4b. TOF calcs'!C53</f>
        <v>0</v>
      </c>
      <c r="D77" s="581">
        <f>'4b. TOF calcs'!D53</f>
        <v>0</v>
      </c>
      <c r="E77" s="581">
        <f>'4b. TOF calcs'!E53</f>
        <v>-1.5046166666666665</v>
      </c>
      <c r="F77" s="581">
        <f>'4b. TOF calcs'!F53</f>
        <v>306.56769000000003</v>
      </c>
      <c r="G77" s="581">
        <f>'4b. TOF calcs'!G53</f>
        <v>-1068.6048999999998</v>
      </c>
      <c r="H77" s="583">
        <f t="shared" si="7"/>
        <v>-770.575641578915</v>
      </c>
    </row>
    <row r="78" spans="1:11" x14ac:dyDescent="0.35">
      <c r="A78" s="124" t="s">
        <v>77</v>
      </c>
      <c r="B78" s="582">
        <f>SUM(B72:B77)</f>
        <v>-1410632.274106405</v>
      </c>
      <c r="C78" s="583">
        <f t="shared" ref="C78" si="8">SUM(C72:C77)</f>
        <v>-170898.95348074875</v>
      </c>
      <c r="D78" s="583">
        <f t="shared" ref="D78" si="9">SUM(D72:D77)</f>
        <v>-44622.777669193063</v>
      </c>
      <c r="E78" s="583">
        <f t="shared" ref="E78" si="10">SUM(E72:E77)</f>
        <v>-6721.7993095971588</v>
      </c>
      <c r="F78" s="583">
        <f t="shared" ref="F78" si="11">SUM(F72:F77)</f>
        <v>-864830.76861561311</v>
      </c>
      <c r="G78" s="583">
        <f t="shared" ref="G78" si="12">SUM(G72:G77)</f>
        <v>-1086.5505933333332</v>
      </c>
      <c r="H78" s="583">
        <f t="shared" ref="H78" si="13">SUM(H72:H77)</f>
        <v>-2498793.1237748908</v>
      </c>
    </row>
    <row r="79" spans="1:11" x14ac:dyDescent="0.35">
      <c r="A79" s="493" t="s">
        <v>481</v>
      </c>
      <c r="B79" s="41"/>
      <c r="C79" s="41"/>
      <c r="D79" s="41"/>
      <c r="E79" s="41"/>
      <c r="F79" s="41"/>
      <c r="G79" s="41"/>
      <c r="H79" s="41"/>
    </row>
    <row r="80" spans="1:11" x14ac:dyDescent="0.35">
      <c r="A80" s="386"/>
      <c r="B80" s="41"/>
      <c r="C80" s="41"/>
      <c r="D80" s="41"/>
      <c r="E80" s="41"/>
      <c r="F80" s="41"/>
      <c r="G80" s="41"/>
      <c r="H80" s="41"/>
    </row>
    <row r="81" spans="1:11" ht="16.5" x14ac:dyDescent="0.35">
      <c r="A81" t="s">
        <v>608</v>
      </c>
      <c r="G81" s="82"/>
    </row>
    <row r="83" spans="1:11" x14ac:dyDescent="0.35">
      <c r="A83" s="180"/>
      <c r="B83">
        <f>Intro!$B$23</f>
        <v>2016</v>
      </c>
      <c r="K83" s="39"/>
    </row>
    <row r="84" spans="1:11" x14ac:dyDescent="0.35">
      <c r="A84" s="376">
        <f>Intro!$B$22</f>
        <v>2011</v>
      </c>
      <c r="B84" s="377" t="s">
        <v>4</v>
      </c>
      <c r="C84" s="378" t="s">
        <v>6</v>
      </c>
      <c r="D84" s="379" t="s">
        <v>5</v>
      </c>
      <c r="E84" s="380" t="s">
        <v>50</v>
      </c>
      <c r="F84" s="381" t="s">
        <v>51</v>
      </c>
      <c r="G84" s="382" t="s">
        <v>52</v>
      </c>
      <c r="H84" s="270" t="s">
        <v>77</v>
      </c>
    </row>
    <row r="85" spans="1:11" x14ac:dyDescent="0.35">
      <c r="A85" s="377" t="s">
        <v>4</v>
      </c>
      <c r="B85" s="116">
        <f>B72/(Intro!$B$23-Intro!$B$22)</f>
        <v>-278491.16652124608</v>
      </c>
      <c r="C85" s="116">
        <f>C72/(Intro!$B$23-Intro!$B$22)</f>
        <v>11447.72565585027</v>
      </c>
      <c r="D85" s="116">
        <f>D72/(Intro!$B$23-Intro!$B$22)</f>
        <v>209.61058782805441</v>
      </c>
      <c r="E85" s="116">
        <f>E72/(Intro!$B$23-Intro!$B$22)</f>
        <v>1192.7758197472353</v>
      </c>
      <c r="F85" s="116">
        <f>F72/(Intro!$B$23-Intro!$B$22)</f>
        <v>16371.158904284903</v>
      </c>
      <c r="G85" s="116">
        <f>G72/(Intro!$B$23-Intro!$B$22)</f>
        <v>0</v>
      </c>
      <c r="H85" s="112">
        <f>SUM(B85:G85)</f>
        <v>-249269.89555353564</v>
      </c>
    </row>
    <row r="86" spans="1:11" x14ac:dyDescent="0.35">
      <c r="A86" s="378" t="s">
        <v>6</v>
      </c>
      <c r="B86" s="116">
        <f>B73/(Intro!$B$23-Intro!$B$22)</f>
        <v>-3031.3866827962383</v>
      </c>
      <c r="C86" s="581">
        <f>C73/(Intro!$B$23-Intro!$B$22)</f>
        <v>-45614.32546366669</v>
      </c>
      <c r="D86" s="581">
        <f>D73/(Intro!$B$23-Intro!$B$22)</f>
        <v>-433.09545399999996</v>
      </c>
      <c r="E86" s="581">
        <f>E73/(Intro!$B$23-Intro!$B$22)</f>
        <v>-4.6544153333333327</v>
      </c>
      <c r="F86" s="581">
        <f>F73/(Intro!$B$23-Intro!$B$22)</f>
        <v>3798.1355390000003</v>
      </c>
      <c r="G86" s="581">
        <f>G73/(Intro!$B$23-Intro!$B$22)</f>
        <v>-1.8273749999999995</v>
      </c>
      <c r="H86" s="432">
        <f t="shared" ref="H86:H90" si="14">SUM(B86:G86)</f>
        <v>-45287.153851796262</v>
      </c>
    </row>
    <row r="87" spans="1:11" x14ac:dyDescent="0.35">
      <c r="A87" s="383" t="s">
        <v>5</v>
      </c>
      <c r="B87" s="116">
        <f>B74/(Intro!$B$23-Intro!$B$22)</f>
        <v>0</v>
      </c>
      <c r="C87" s="581">
        <f>C74/(Intro!$B$23-Intro!$B$22)</f>
        <v>-5.4810213333333335</v>
      </c>
      <c r="D87" s="581">
        <f>D74/(Intro!$B$23-Intro!$B$22)</f>
        <v>-8701.0706676666668</v>
      </c>
      <c r="E87" s="581">
        <f>E74/(Intro!$B$23-Intro!$B$22)</f>
        <v>-2.2553116666666666</v>
      </c>
      <c r="F87" s="581">
        <f>F74/(Intro!$B$23-Intro!$B$22)</f>
        <v>428.70891066666672</v>
      </c>
      <c r="G87" s="581">
        <f>G74/(Intro!$B$23-Intro!$B$22)</f>
        <v>-1.1525763333333336</v>
      </c>
      <c r="H87" s="432">
        <f t="shared" si="14"/>
        <v>-8281.2506663333334</v>
      </c>
    </row>
    <row r="88" spans="1:11" x14ac:dyDescent="0.35">
      <c r="A88" s="380" t="s">
        <v>50</v>
      </c>
      <c r="B88" s="116">
        <f>B75/(Intro!$B$23-Intro!$B$22)</f>
        <v>-602.4948542562488</v>
      </c>
      <c r="C88" s="581">
        <f>C75/(Intro!$B$23-Intro!$B$22)</f>
        <v>-7.7098670000000027</v>
      </c>
      <c r="D88" s="581">
        <f>D75/(Intro!$B$23-Intro!$B$22)</f>
        <v>0</v>
      </c>
      <c r="E88" s="581">
        <f>E75/(Intro!$B$23-Intro!$B$22)</f>
        <v>-2529.9250313333337</v>
      </c>
      <c r="F88" s="581">
        <f>F75/(Intro!$B$23-Intro!$B$22)</f>
        <v>70.02685799999999</v>
      </c>
      <c r="G88" s="581">
        <f>G75/(Intro!$B$23-Intro!$B$22)</f>
        <v>-0.6091873333333333</v>
      </c>
      <c r="H88" s="432">
        <f t="shared" si="14"/>
        <v>-3070.7120819229158</v>
      </c>
    </row>
    <row r="89" spans="1:11" x14ac:dyDescent="0.35">
      <c r="A89" s="381" t="s">
        <v>51</v>
      </c>
      <c r="B89" s="116">
        <f>B76/(Intro!$B$23-Intro!$B$22)</f>
        <v>0</v>
      </c>
      <c r="C89" s="581">
        <f>C76/(Intro!$B$23-Intro!$B$22)</f>
        <v>0</v>
      </c>
      <c r="D89" s="581">
        <f>D76/(Intro!$B$23-Intro!$B$22)</f>
        <v>0</v>
      </c>
      <c r="E89" s="581">
        <f>E76/(Intro!$B$23-Intro!$B$22)</f>
        <v>0</v>
      </c>
      <c r="F89" s="581">
        <f>F76/(Intro!$B$23-Intro!$B$22)</f>
        <v>-193695.49747307418</v>
      </c>
      <c r="G89" s="581">
        <f>G76/(Intro!$B$23-Intro!$B$22)</f>
        <v>0</v>
      </c>
      <c r="H89" s="432">
        <f t="shared" si="14"/>
        <v>-193695.49747307418</v>
      </c>
    </row>
    <row r="90" spans="1:11" x14ac:dyDescent="0.35">
      <c r="A90" s="382" t="s">
        <v>52</v>
      </c>
      <c r="B90" s="116">
        <f>B77/(Intro!$B$23-Intro!$B$22)</f>
        <v>-1.4067629824497048</v>
      </c>
      <c r="C90" s="581">
        <f>C77/(Intro!$B$23-Intro!$B$22)</f>
        <v>0</v>
      </c>
      <c r="D90" s="581">
        <f>D77/(Intro!$B$23-Intro!$B$22)</f>
        <v>0</v>
      </c>
      <c r="E90" s="581">
        <f>E77/(Intro!$B$23-Intro!$B$22)</f>
        <v>-0.30092333333333332</v>
      </c>
      <c r="F90" s="581">
        <f>F77/(Intro!$B$23-Intro!$B$22)</f>
        <v>61.313538000000008</v>
      </c>
      <c r="G90" s="581">
        <f>G77/(Intro!$B$23-Intro!$B$22)</f>
        <v>-213.72097999999997</v>
      </c>
      <c r="H90" s="432">
        <f t="shared" si="14"/>
        <v>-154.11512831578301</v>
      </c>
    </row>
    <row r="91" spans="1:11" x14ac:dyDescent="0.35">
      <c r="A91" s="124" t="s">
        <v>77</v>
      </c>
      <c r="B91" s="112">
        <f>SUM(B85:B90)</f>
        <v>-282126.45482128096</v>
      </c>
      <c r="C91" s="432">
        <f t="shared" ref="C91" si="15">SUM(C85:C90)</f>
        <v>-34179.79069614975</v>
      </c>
      <c r="D91" s="432">
        <f t="shared" ref="D91" si="16">SUM(D85:D90)</f>
        <v>-8924.555533838613</v>
      </c>
      <c r="E91" s="432">
        <f t="shared" ref="E91" si="17">SUM(E85:E90)</f>
        <v>-1344.3598619194315</v>
      </c>
      <c r="F91" s="432">
        <f t="shared" ref="F91" si="18">SUM(F85:F90)</f>
        <v>-172966.15372312261</v>
      </c>
      <c r="G91" s="432">
        <f t="shared" ref="G91" si="19">SUM(G85:G90)</f>
        <v>-217.31011866666663</v>
      </c>
      <c r="H91" s="432">
        <f t="shared" ref="H91" si="20">SUM(H85:H90)</f>
        <v>-499758.62475497811</v>
      </c>
    </row>
    <row r="92" spans="1:11" x14ac:dyDescent="0.35">
      <c r="A92" s="493" t="s">
        <v>481</v>
      </c>
      <c r="B92" s="41"/>
      <c r="C92" s="41"/>
      <c r="D92" s="41"/>
      <c r="E92" s="41"/>
      <c r="F92" s="41"/>
      <c r="G92" s="41"/>
      <c r="H92" s="41"/>
    </row>
    <row r="93" spans="1:11" x14ac:dyDescent="0.35">
      <c r="A93" s="386"/>
      <c r="B93" s="41"/>
      <c r="C93" s="41"/>
      <c r="D93" s="41"/>
      <c r="E93" s="41"/>
      <c r="F93" s="41"/>
      <c r="G93" s="41"/>
      <c r="H93" s="41"/>
    </row>
    <row r="94" spans="1:11" ht="16.5" x14ac:dyDescent="0.35">
      <c r="A94" s="56" t="s">
        <v>609</v>
      </c>
      <c r="B94" s="41"/>
      <c r="C94" s="41"/>
      <c r="D94" s="41"/>
      <c r="E94" s="41"/>
      <c r="F94" s="41"/>
      <c r="G94" s="41"/>
      <c r="H94" s="82"/>
    </row>
    <row r="95" spans="1:11" x14ac:dyDescent="0.35">
      <c r="A95" s="386"/>
      <c r="B95" s="41"/>
      <c r="C95" s="41"/>
      <c r="D95" s="41"/>
      <c r="E95" s="41"/>
      <c r="F95" s="41"/>
      <c r="G95" s="41"/>
      <c r="H95" s="41"/>
    </row>
    <row r="96" spans="1:11" x14ac:dyDescent="0.35">
      <c r="A96" s="180"/>
      <c r="B96">
        <f>Intro!$B$23</f>
        <v>2016</v>
      </c>
    </row>
    <row r="97" spans="1:14" x14ac:dyDescent="0.35">
      <c r="A97" s="376">
        <f>Intro!$B$22</f>
        <v>2011</v>
      </c>
      <c r="B97" s="377" t="s">
        <v>4</v>
      </c>
      <c r="C97" s="378" t="s">
        <v>6</v>
      </c>
      <c r="D97" s="379" t="s">
        <v>5</v>
      </c>
      <c r="E97" s="380" t="s">
        <v>50</v>
      </c>
      <c r="F97" s="381" t="s">
        <v>51</v>
      </c>
      <c r="G97" s="382" t="s">
        <v>52</v>
      </c>
      <c r="H97" s="270" t="s">
        <v>77</v>
      </c>
    </row>
    <row r="98" spans="1:14" x14ac:dyDescent="0.35">
      <c r="A98" s="377" t="s">
        <v>4</v>
      </c>
      <c r="B98" s="609">
        <f>IF(B16=0,0,B85/B16)</f>
        <v>-6.3453018416901203</v>
      </c>
      <c r="C98" s="609">
        <f t="shared" ref="C98:H98" si="21">IF(C16=0,0,C85/C16)</f>
        <v>79.708075814808709</v>
      </c>
      <c r="D98" s="609">
        <f t="shared" si="21"/>
        <v>94.552874486378954</v>
      </c>
      <c r="E98" s="609">
        <f t="shared" si="21"/>
        <v>56.962406146082898</v>
      </c>
      <c r="F98" s="609">
        <f t="shared" si="21"/>
        <v>105.25137953386132</v>
      </c>
      <c r="G98" s="609">
        <f t="shared" si="21"/>
        <v>0</v>
      </c>
      <c r="H98" s="609">
        <f t="shared" si="21"/>
        <v>-5.6381018431629473</v>
      </c>
    </row>
    <row r="99" spans="1:14" x14ac:dyDescent="0.35">
      <c r="A99" s="378" t="s">
        <v>6</v>
      </c>
      <c r="B99" s="609">
        <f t="shared" ref="B99:H99" si="22">IF(B17=0,0,B86/B17)</f>
        <v>-11.162942589294415</v>
      </c>
      <c r="C99" s="609">
        <f t="shared" si="22"/>
        <v>-2.1221740849110029</v>
      </c>
      <c r="D99" s="609">
        <f t="shared" si="22"/>
        <v>-1.5796979616513942</v>
      </c>
      <c r="E99" s="609">
        <f t="shared" si="22"/>
        <v>-3.6951577493301047</v>
      </c>
      <c r="F99" s="609">
        <f t="shared" si="22"/>
        <v>13.376989785608354</v>
      </c>
      <c r="G99" s="609">
        <f t="shared" si="22"/>
        <v>-0.31402923132804489</v>
      </c>
      <c r="H99" s="609">
        <f t="shared" si="22"/>
        <v>-2.0280058341210503</v>
      </c>
    </row>
    <row r="100" spans="1:14" x14ac:dyDescent="0.35">
      <c r="A100" s="383" t="s">
        <v>5</v>
      </c>
      <c r="B100" s="609">
        <f t="shared" ref="B100:H100" si="23">IF(B18=0,0,B87/B18)</f>
        <v>0</v>
      </c>
      <c r="C100" s="609">
        <f t="shared" si="23"/>
        <v>-0.26514279424275128</v>
      </c>
      <c r="D100" s="609">
        <f t="shared" si="23"/>
        <v>-0.83045445527645889</v>
      </c>
      <c r="E100" s="609">
        <f t="shared" si="23"/>
        <v>-6.2622852789317847</v>
      </c>
      <c r="F100" s="609">
        <f t="shared" si="23"/>
        <v>3.2849169217383531</v>
      </c>
      <c r="G100" s="609">
        <f t="shared" si="23"/>
        <v>-19.23347130700235</v>
      </c>
      <c r="H100" s="609">
        <f t="shared" si="23"/>
        <v>-0.77911256071552981</v>
      </c>
    </row>
    <row r="101" spans="1:14" x14ac:dyDescent="0.35">
      <c r="A101" s="380" t="s">
        <v>50</v>
      </c>
      <c r="B101" s="609">
        <f t="shared" ref="B101:H101" si="24">IF(B19=0,0,B88/B19)</f>
        <v>-8.9292669345736648</v>
      </c>
      <c r="C101" s="609">
        <f t="shared" si="24"/>
        <v>-2.2161601650257512</v>
      </c>
      <c r="D101" s="609">
        <f t="shared" si="24"/>
        <v>0</v>
      </c>
      <c r="E101" s="609">
        <f t="shared" si="24"/>
        <v>-0.85163029324949224</v>
      </c>
      <c r="F101" s="609">
        <f t="shared" si="24"/>
        <v>34.318711576360492</v>
      </c>
      <c r="G101" s="609">
        <f t="shared" si="24"/>
        <v>-0.31756501317556302</v>
      </c>
      <c r="H101" s="609">
        <f t="shared" si="24"/>
        <v>-1.0082067918230897</v>
      </c>
    </row>
    <row r="102" spans="1:14" x14ac:dyDescent="0.35">
      <c r="A102" s="381" t="s">
        <v>51</v>
      </c>
      <c r="B102" s="609">
        <f t="shared" ref="B102:H102" si="25">IF(B20=0,0,B89/B20)</f>
        <v>0</v>
      </c>
      <c r="C102" s="609">
        <f t="shared" si="25"/>
        <v>0</v>
      </c>
      <c r="D102" s="609">
        <f t="shared" si="25"/>
        <v>0</v>
      </c>
      <c r="E102" s="609">
        <f t="shared" si="25"/>
        <v>0</v>
      </c>
      <c r="F102" s="609">
        <f t="shared" si="25"/>
        <v>-3.8104837507589568</v>
      </c>
      <c r="G102" s="609">
        <f t="shared" si="25"/>
        <v>0</v>
      </c>
      <c r="H102" s="609">
        <f t="shared" si="25"/>
        <v>-3.8104837507589568</v>
      </c>
    </row>
    <row r="103" spans="1:14" x14ac:dyDescent="0.35">
      <c r="A103" s="382" t="s">
        <v>52</v>
      </c>
      <c r="B103" s="609">
        <f t="shared" ref="B103:H103" si="26">IF(B21=0,0,B90/B21)</f>
        <v>-11.707241561890756</v>
      </c>
      <c r="C103" s="609">
        <f t="shared" si="26"/>
        <v>0</v>
      </c>
      <c r="D103" s="609">
        <f t="shared" si="26"/>
        <v>0</v>
      </c>
      <c r="E103" s="609">
        <f t="shared" si="26"/>
        <v>-9.1120017160590996E-2</v>
      </c>
      <c r="F103" s="609">
        <f t="shared" si="26"/>
        <v>17.023075859577126</v>
      </c>
      <c r="G103" s="609">
        <f t="shared" si="26"/>
        <v>-1.0199535255518541</v>
      </c>
      <c r="H103" s="609">
        <f t="shared" si="26"/>
        <v>-0.7116365979646635</v>
      </c>
    </row>
    <row r="104" spans="1:14" x14ac:dyDescent="0.35">
      <c r="A104" s="124" t="s">
        <v>77</v>
      </c>
      <c r="B104" s="609">
        <f t="shared" ref="B104:H104" si="27">IF(B22=0,0,B91/B22)</f>
        <v>-6.3788382305615725</v>
      </c>
      <c r="C104" s="609">
        <f t="shared" si="27"/>
        <v>-1.5778744557528033</v>
      </c>
      <c r="D104" s="609">
        <f t="shared" si="27"/>
        <v>-0.82988387168506828</v>
      </c>
      <c r="E104" s="609">
        <f t="shared" si="27"/>
        <v>-0.44863639769639413</v>
      </c>
      <c r="F104" s="609">
        <f t="shared" si="27"/>
        <v>-3.3645842132060095</v>
      </c>
      <c r="G104" s="609">
        <f t="shared" si="27"/>
        <v>-0.99987504177996811</v>
      </c>
      <c r="H104" s="609">
        <f t="shared" si="27"/>
        <v>-3.8072157041386352</v>
      </c>
    </row>
    <row r="105" spans="1:14" x14ac:dyDescent="0.35">
      <c r="A105" s="493" t="s">
        <v>481</v>
      </c>
      <c r="B105" s="75"/>
      <c r="C105" s="41"/>
      <c r="D105" s="41"/>
      <c r="E105" s="41"/>
      <c r="F105" s="41"/>
      <c r="G105" s="41"/>
      <c r="H105" s="41"/>
    </row>
    <row r="106" spans="1:14" x14ac:dyDescent="0.35">
      <c r="A106" s="386"/>
      <c r="B106" s="75"/>
      <c r="C106" s="41"/>
      <c r="D106" s="41"/>
      <c r="E106" s="41"/>
      <c r="F106" s="41"/>
      <c r="G106" s="41"/>
      <c r="H106" s="41"/>
    </row>
    <row r="107" spans="1:14" x14ac:dyDescent="0.35">
      <c r="A107" s="56" t="s">
        <v>610</v>
      </c>
    </row>
    <row r="108" spans="1:14" x14ac:dyDescent="0.35">
      <c r="D108" s="390"/>
    </row>
    <row r="109" spans="1:14" x14ac:dyDescent="0.35">
      <c r="A109" s="389" t="s">
        <v>369</v>
      </c>
      <c r="D109" s="390"/>
    </row>
    <row r="110" spans="1:14" ht="29" x14ac:dyDescent="0.35">
      <c r="A110" s="12" t="s">
        <v>48</v>
      </c>
      <c r="B110" s="39">
        <f>'4a. Forest C &amp; CO2 calcs'!B103-'4a. Forest C &amp; CO2 calcs'!G137</f>
        <v>-278491.16652124608</v>
      </c>
    </row>
    <row r="111" spans="1:14" ht="29" x14ac:dyDescent="0.35">
      <c r="A111" s="12" t="s">
        <v>121</v>
      </c>
      <c r="B111" s="39">
        <f>SUM(B86:B90)</f>
        <v>-3635.288300034937</v>
      </c>
      <c r="G111" s="82"/>
      <c r="M111" t="s">
        <v>287</v>
      </c>
    </row>
    <row r="112" spans="1:14" ht="24.65" customHeight="1" x14ac:dyDescent="0.35">
      <c r="A112" s="387" t="s">
        <v>578</v>
      </c>
      <c r="B112" s="39">
        <f>'6. HWP calcs'!D94</f>
        <v>0</v>
      </c>
      <c r="C112" s="82"/>
      <c r="G112" s="82"/>
      <c r="M112" t="s">
        <v>288</v>
      </c>
      <c r="N112" s="39">
        <f>B110</f>
        <v>-278491.16652124608</v>
      </c>
    </row>
    <row r="113" spans="1:14" ht="26.5" customHeight="1" thickBot="1" x14ac:dyDescent="0.4">
      <c r="A113" s="387" t="s">
        <v>579</v>
      </c>
      <c r="B113" s="41">
        <f>SUM(C86:G90)-SUM('4b. TOF calcs'!L62:P66)</f>
        <v>-382643.11357800005</v>
      </c>
      <c r="G113" s="82"/>
      <c r="M113" t="s">
        <v>289</v>
      </c>
      <c r="N113" s="39">
        <f>B111</f>
        <v>-3635.288300034937</v>
      </c>
    </row>
    <row r="114" spans="1:14" ht="15.5" thickTop="1" thickBot="1" x14ac:dyDescent="0.4">
      <c r="A114" s="388" t="s">
        <v>283</v>
      </c>
      <c r="B114" s="244">
        <f>SUM(B110:B113)</f>
        <v>-664769.56839928101</v>
      </c>
      <c r="G114" s="82"/>
      <c r="M114" t="s">
        <v>290</v>
      </c>
      <c r="N114" s="39">
        <f>B112</f>
        <v>0</v>
      </c>
    </row>
    <row r="115" spans="1:14" ht="15" thickTop="1" x14ac:dyDescent="0.35">
      <c r="A115" s="388"/>
      <c r="B115" s="39"/>
      <c r="G115" s="82"/>
      <c r="M115" t="s">
        <v>584</v>
      </c>
      <c r="N115" s="39">
        <f>B113</f>
        <v>-382643.11357800005</v>
      </c>
    </row>
    <row r="116" spans="1:14" x14ac:dyDescent="0.35">
      <c r="A116" s="388" t="s">
        <v>370</v>
      </c>
      <c r="B116" s="39"/>
      <c r="G116" s="82"/>
      <c r="M116" t="s">
        <v>291</v>
      </c>
      <c r="N116" s="39">
        <f t="shared" ref="N116:N120" si="28">B117</f>
        <v>0</v>
      </c>
    </row>
    <row r="117" spans="1:14" ht="29" x14ac:dyDescent="0.35">
      <c r="A117" s="12" t="s">
        <v>279</v>
      </c>
      <c r="B117" s="39">
        <f>'4a. Forest C &amp; CO2 calcs'!F137</f>
        <v>0</v>
      </c>
      <c r="G117" s="82"/>
      <c r="M117" t="s">
        <v>292</v>
      </c>
      <c r="N117" s="39">
        <f t="shared" si="28"/>
        <v>0</v>
      </c>
    </row>
    <row r="118" spans="1:14" ht="29" x14ac:dyDescent="0.35">
      <c r="A118" s="12" t="s">
        <v>280</v>
      </c>
      <c r="B118" s="39">
        <f>SUM('4a. Forest C &amp; CO2 calcs'!C137:E137)</f>
        <v>0</v>
      </c>
      <c r="G118" s="82"/>
      <c r="M118" t="s">
        <v>293</v>
      </c>
      <c r="N118" s="39">
        <f t="shared" si="28"/>
        <v>11447.72565585027</v>
      </c>
    </row>
    <row r="119" spans="1:14" ht="29" x14ac:dyDescent="0.35">
      <c r="A119" s="12" t="s">
        <v>271</v>
      </c>
      <c r="B119" s="39">
        <f>C85</f>
        <v>11447.72565585027</v>
      </c>
      <c r="G119" s="82"/>
      <c r="M119" t="s">
        <v>294</v>
      </c>
      <c r="N119" s="39">
        <f t="shared" si="28"/>
        <v>16371.158904284903</v>
      </c>
    </row>
    <row r="120" spans="1:14" ht="29" x14ac:dyDescent="0.35">
      <c r="A120" s="12" t="s">
        <v>281</v>
      </c>
      <c r="B120" s="39">
        <f>F85</f>
        <v>16371.158904284903</v>
      </c>
      <c r="G120" s="82"/>
      <c r="M120" t="s">
        <v>295</v>
      </c>
      <c r="N120" s="39">
        <f t="shared" si="28"/>
        <v>1402.3864075752897</v>
      </c>
    </row>
    <row r="121" spans="1:14" ht="29" x14ac:dyDescent="0.35">
      <c r="A121" s="12" t="s">
        <v>286</v>
      </c>
      <c r="B121" s="39">
        <f>D85+E85+G85</f>
        <v>1402.3864075752897</v>
      </c>
      <c r="G121" s="82"/>
      <c r="M121" t="s">
        <v>583</v>
      </c>
      <c r="N121" s="39">
        <f>B122</f>
        <v>135789.67267659248</v>
      </c>
    </row>
    <row r="122" spans="1:14" ht="24.65" customHeight="1" x14ac:dyDescent="0.35">
      <c r="A122" s="387" t="s">
        <v>580</v>
      </c>
      <c r="B122" s="39">
        <f>SUM('4b. TOF calcs'!L62:P66)</f>
        <v>135789.67267659248</v>
      </c>
      <c r="M122" t="s">
        <v>354</v>
      </c>
      <c r="N122" s="39">
        <f>B123</f>
        <v>0</v>
      </c>
    </row>
    <row r="123" spans="1:14" ht="25.5" customHeight="1" thickBot="1" x14ac:dyDescent="0.4">
      <c r="A123" s="387" t="s">
        <v>243</v>
      </c>
      <c r="B123" s="41">
        <f>'5. Other calcs'!G18</f>
        <v>0</v>
      </c>
    </row>
    <row r="124" spans="1:14" ht="15.5" thickTop="1" thickBot="1" x14ac:dyDescent="0.4">
      <c r="A124" s="388" t="s">
        <v>284</v>
      </c>
      <c r="B124" s="244">
        <f>SUM(B117:B123)</f>
        <v>165010.94364430296</v>
      </c>
    </row>
    <row r="125" spans="1:14" ht="15.5" thickTop="1" thickBot="1" x14ac:dyDescent="0.4">
      <c r="C125" s="82"/>
    </row>
    <row r="126" spans="1:14" ht="15.5" thickTop="1" thickBot="1" x14ac:dyDescent="0.4">
      <c r="A126" s="389" t="s">
        <v>285</v>
      </c>
      <c r="B126" s="244">
        <f>B114+B124</f>
        <v>-499758.62475497805</v>
      </c>
    </row>
    <row r="127" spans="1:14" ht="17" thickTop="1" x14ac:dyDescent="0.35">
      <c r="A127" t="s">
        <v>368</v>
      </c>
    </row>
    <row r="128" spans="1:14" ht="16.5" x14ac:dyDescent="0.35">
      <c r="A128" t="s">
        <v>581</v>
      </c>
    </row>
    <row r="129" spans="1:4" ht="16.5" x14ac:dyDescent="0.35">
      <c r="A129" t="s">
        <v>582</v>
      </c>
    </row>
    <row r="132" spans="1:4" x14ac:dyDescent="0.35">
      <c r="A132" s="2" t="s">
        <v>623</v>
      </c>
    </row>
    <row r="133" spans="1:4" x14ac:dyDescent="0.35">
      <c r="B133" t="s">
        <v>369</v>
      </c>
      <c r="C133" t="s">
        <v>370</v>
      </c>
      <c r="D133" t="s">
        <v>625</v>
      </c>
    </row>
    <row r="134" spans="1:4" x14ac:dyDescent="0.35">
      <c r="A134" t="s">
        <v>613</v>
      </c>
      <c r="B134" s="39">
        <f>B110</f>
        <v>-278491.16652124608</v>
      </c>
    </row>
    <row r="135" spans="1:4" x14ac:dyDescent="0.35">
      <c r="A135" t="s">
        <v>614</v>
      </c>
      <c r="B135" s="39">
        <f>B111</f>
        <v>-3635.288300034937</v>
      </c>
    </row>
    <row r="136" spans="1:4" x14ac:dyDescent="0.35">
      <c r="A136" t="s">
        <v>615</v>
      </c>
      <c r="B136" s="39"/>
      <c r="C136" s="39">
        <f>B120</f>
        <v>16371.158904284903</v>
      </c>
    </row>
    <row r="137" spans="1:4" x14ac:dyDescent="0.35">
      <c r="A137" t="s">
        <v>616</v>
      </c>
      <c r="C137" s="39">
        <f>B119</f>
        <v>11447.72565585027</v>
      </c>
    </row>
    <row r="138" spans="1:4" x14ac:dyDescent="0.35">
      <c r="A138" t="s">
        <v>617</v>
      </c>
      <c r="C138" s="39">
        <f>B121</f>
        <v>1402.3864075752897</v>
      </c>
    </row>
    <row r="139" spans="1:4" x14ac:dyDescent="0.35">
      <c r="A139" t="s">
        <v>618</v>
      </c>
      <c r="B139" s="39">
        <f>B113</f>
        <v>-382643.11357800005</v>
      </c>
      <c r="C139" s="610">
        <f>B122</f>
        <v>135789.67267659248</v>
      </c>
    </row>
    <row r="140" spans="1:4" x14ac:dyDescent="0.35">
      <c r="A140" t="s">
        <v>620</v>
      </c>
      <c r="B140" s="39">
        <f>B112</f>
        <v>0</v>
      </c>
    </row>
    <row r="141" spans="1:4" x14ac:dyDescent="0.35">
      <c r="A141" t="s">
        <v>621</v>
      </c>
      <c r="C141" s="39">
        <f>B117</f>
        <v>0</v>
      </c>
    </row>
    <row r="142" spans="1:4" x14ac:dyDescent="0.35">
      <c r="A142" t="s">
        <v>622</v>
      </c>
      <c r="B142" s="39"/>
      <c r="C142" s="39">
        <f>B118</f>
        <v>0</v>
      </c>
    </row>
    <row r="143" spans="1:4" x14ac:dyDescent="0.35">
      <c r="A143" s="5" t="s">
        <v>129</v>
      </c>
      <c r="B143" s="39">
        <f>SUM(B134:B142)</f>
        <v>-664769.56839928101</v>
      </c>
      <c r="C143" s="39">
        <f>SUM(C134:C142)</f>
        <v>165010.94364430296</v>
      </c>
    </row>
    <row r="144" spans="1:4" x14ac:dyDescent="0.35">
      <c r="A144" t="s">
        <v>285</v>
      </c>
      <c r="B144" s="39"/>
      <c r="C144" s="39"/>
      <c r="D144" s="39">
        <f>B143+C143</f>
        <v>-499758.62475497805</v>
      </c>
    </row>
    <row r="145" spans="1:7" x14ac:dyDescent="0.35">
      <c r="B145" s="39"/>
      <c r="C145" s="39"/>
    </row>
    <row r="146" spans="1:7" x14ac:dyDescent="0.35">
      <c r="B146" s="39"/>
      <c r="C146" s="39"/>
    </row>
    <row r="147" spans="1:7" x14ac:dyDescent="0.35">
      <c r="B147" s="39"/>
      <c r="C147" s="39"/>
    </row>
    <row r="148" spans="1:7" x14ac:dyDescent="0.35">
      <c r="B148" s="39"/>
      <c r="C148" s="610"/>
    </row>
    <row r="152" spans="1:7" x14ac:dyDescent="0.35">
      <c r="A152" t="s">
        <v>619</v>
      </c>
    </row>
    <row r="154" spans="1:7" ht="17" thickBot="1" x14ac:dyDescent="0.4">
      <c r="A154" s="82"/>
      <c r="B154" s="640" t="s">
        <v>308</v>
      </c>
      <c r="C154" s="640"/>
      <c r="D154" s="639" t="s">
        <v>309</v>
      </c>
      <c r="E154" s="639"/>
      <c r="F154" s="639"/>
      <c r="G154" s="639"/>
    </row>
    <row r="155" spans="1:7" ht="45" customHeight="1" thickBot="1" x14ac:dyDescent="0.4">
      <c r="A155" s="240" t="s">
        <v>110</v>
      </c>
      <c r="B155" s="391" t="s">
        <v>297</v>
      </c>
      <c r="C155" s="391" t="s">
        <v>298</v>
      </c>
      <c r="D155" s="391" t="s">
        <v>143</v>
      </c>
      <c r="E155" s="391" t="s">
        <v>141</v>
      </c>
      <c r="F155" s="391" t="s">
        <v>142</v>
      </c>
      <c r="G155" s="391" t="s">
        <v>261</v>
      </c>
    </row>
    <row r="156" spans="1:7" ht="29.15" customHeight="1" x14ac:dyDescent="0.35">
      <c r="A156" s="394"/>
      <c r="B156" s="395" t="s">
        <v>296</v>
      </c>
      <c r="C156" s="395" t="s">
        <v>296</v>
      </c>
      <c r="D156" s="395" t="s">
        <v>299</v>
      </c>
      <c r="E156" s="395" t="s">
        <v>299</v>
      </c>
      <c r="F156" s="395" t="s">
        <v>299</v>
      </c>
      <c r="G156" s="395" t="s">
        <v>299</v>
      </c>
    </row>
    <row r="157" spans="1:7" x14ac:dyDescent="0.35">
      <c r="A157" s="121" t="s">
        <v>53</v>
      </c>
      <c r="B157" s="392">
        <f>'3a. Forest EF_RF'!H121*3.67</f>
        <v>-1.602869312421688</v>
      </c>
      <c r="C157" s="392">
        <f>'3a. Forest EF_RF'!G180*3.67</f>
        <v>-1.602869312421688</v>
      </c>
      <c r="D157" s="393">
        <f>'3a. Forest EF_RF'!F71*3.67</f>
        <v>82.983424961856059</v>
      </c>
      <c r="E157" s="393">
        <f>'3a. Forest EF_RF'!C71*3.67</f>
        <v>81.992243987868591</v>
      </c>
      <c r="F157" s="393">
        <f>'3a. Forest EF_RF'!D71*3.67</f>
        <v>-58.848576887330992</v>
      </c>
      <c r="G157" s="393">
        <f>'3a. Forest EF_RF'!E71*3.67</f>
        <v>13.145206959223048</v>
      </c>
    </row>
    <row r="158" spans="1:7" x14ac:dyDescent="0.35">
      <c r="A158" s="121" t="s">
        <v>54</v>
      </c>
      <c r="B158" s="392">
        <f>'3a. Forest EF_RF'!H122*3.67</f>
        <v>-5.7412562500000002</v>
      </c>
      <c r="C158" s="392">
        <f>'3a. Forest EF_RF'!G181*3.67</f>
        <v>-5.7412562500000002</v>
      </c>
      <c r="D158" s="393">
        <f>'3a. Forest EF_RF'!F72*3.67</f>
        <v>142.75674571496231</v>
      </c>
      <c r="E158" s="393">
        <f>'3a. Forest EF_RF'!C72*3.67</f>
        <v>97.641458689129848</v>
      </c>
      <c r="F158" s="393">
        <f>'3a. Forest EF_RF'!D72*3.67</f>
        <v>-94.286543833593967</v>
      </c>
      <c r="G158" s="393">
        <f>'3a. Forest EF_RF'!E72*3.67</f>
        <v>43.419908121461056</v>
      </c>
    </row>
    <row r="159" spans="1:7" x14ac:dyDescent="0.35">
      <c r="A159" s="121" t="s">
        <v>55</v>
      </c>
      <c r="B159" s="392">
        <f>'3a. Forest EF_RF'!H123*3.67</f>
        <v>-6.4343542773718649</v>
      </c>
      <c r="C159" s="392">
        <f>'3a. Forest EF_RF'!G182*3.67</f>
        <v>-6.4343542773718649</v>
      </c>
      <c r="D159" s="393">
        <f>'3a. Forest EF_RF'!F73*3.67</f>
        <v>167.21101468472133</v>
      </c>
      <c r="E159" s="393">
        <f>'3a. Forest EF_RF'!C73*3.67</f>
        <v>118.52102890650309</v>
      </c>
      <c r="F159" s="393">
        <f>'3a. Forest EF_RF'!D73*3.67</f>
        <v>-97.483810057292033</v>
      </c>
      <c r="G159" s="393">
        <f>'3a. Forest EF_RF'!E73*3.67</f>
        <v>100.24517849763596</v>
      </c>
    </row>
    <row r="160" spans="1:7" x14ac:dyDescent="0.35">
      <c r="A160" s="121" t="s">
        <v>76</v>
      </c>
      <c r="B160" s="392">
        <f>'3a. Forest EF_RF'!H124*3.67</f>
        <v>-7.1748499999999993</v>
      </c>
      <c r="C160" s="392">
        <f>'3a. Forest EF_RF'!G183*3.67</f>
        <v>-7.1748499999999993</v>
      </c>
      <c r="D160" s="393">
        <f>'3a. Forest EF_RF'!F74*3.67</f>
        <v>78.241430047928645</v>
      </c>
      <c r="E160" s="393">
        <f>'3a. Forest EF_RF'!C74*3.67</f>
        <v>59.403574888599167</v>
      </c>
      <c r="F160" s="393">
        <f>'3a. Forest EF_RF'!D74*3.67</f>
        <v>-111.87659217919881</v>
      </c>
      <c r="G160" s="393">
        <f>'3a. Forest EF_RF'!E74*3.67</f>
        <v>-111.87659217919881</v>
      </c>
    </row>
    <row r="161" spans="1:7" ht="16.5" x14ac:dyDescent="0.35">
      <c r="A161" s="538" t="s">
        <v>568</v>
      </c>
      <c r="B161" s="539">
        <f>'3a. Forest EF_RF'!H128*3.67</f>
        <v>0</v>
      </c>
      <c r="C161" s="540"/>
      <c r="D161" s="541">
        <f>'3a. Forest EF_RF'!H335*3.67</f>
        <v>0</v>
      </c>
      <c r="E161" s="393"/>
      <c r="F161" s="393"/>
      <c r="G161" s="393"/>
    </row>
    <row r="162" spans="1:7" ht="16.5" x14ac:dyDescent="0.35">
      <c r="A162" s="538" t="s">
        <v>567</v>
      </c>
      <c r="B162" s="539">
        <f>'3a. Forest EF_RF'!H129*3.67</f>
        <v>0</v>
      </c>
      <c r="C162" s="540"/>
      <c r="D162" s="541">
        <f>'3a. Forest EF_RF'!H336*3.67</f>
        <v>0</v>
      </c>
      <c r="E162" s="393"/>
      <c r="F162" s="393"/>
      <c r="G162" s="393"/>
    </row>
    <row r="163" spans="1:7" ht="16.5" x14ac:dyDescent="0.35">
      <c r="A163" s="121" t="s">
        <v>312</v>
      </c>
      <c r="B163" s="392">
        <f>'3b. TOF EF_RF'!B47*3.67</f>
        <v>-12.9551</v>
      </c>
      <c r="C163" s="55"/>
      <c r="D163" s="393"/>
      <c r="E163" s="393"/>
      <c r="F163" s="393"/>
      <c r="G163" s="393"/>
    </row>
    <row r="164" spans="1:7" ht="16.5" x14ac:dyDescent="0.35">
      <c r="A164" s="180" t="s">
        <v>310</v>
      </c>
      <c r="B164" s="91"/>
      <c r="C164" s="11"/>
      <c r="D164" s="135"/>
      <c r="E164" s="135"/>
      <c r="F164" s="135"/>
      <c r="G164" s="135"/>
    </row>
    <row r="165" spans="1:7" ht="16.5" x14ac:dyDescent="0.35">
      <c r="A165" s="180" t="s">
        <v>384</v>
      </c>
      <c r="B165" s="91"/>
      <c r="C165" s="11"/>
      <c r="D165" s="135"/>
      <c r="E165" s="135"/>
      <c r="F165" s="401"/>
      <c r="G165" s="135"/>
    </row>
    <row r="166" spans="1:7" ht="16.5" x14ac:dyDescent="0.35">
      <c r="A166" s="402" t="s">
        <v>311</v>
      </c>
    </row>
    <row r="167" spans="1:7" ht="16.5" x14ac:dyDescent="0.35">
      <c r="A167" s="402" t="s">
        <v>313</v>
      </c>
    </row>
    <row r="168" spans="1:7" x14ac:dyDescent="0.35">
      <c r="A168" s="402"/>
    </row>
    <row r="169" spans="1:7" x14ac:dyDescent="0.35">
      <c r="A169" s="402"/>
    </row>
    <row r="170" spans="1:7" ht="17" thickBot="1" x14ac:dyDescent="0.4">
      <c r="B170" s="639" t="s">
        <v>316</v>
      </c>
      <c r="C170" s="639"/>
      <c r="D170" s="639"/>
      <c r="E170" s="639"/>
      <c r="F170" s="639"/>
      <c r="G170" s="487"/>
    </row>
    <row r="171" spans="1:7" ht="39.5" thickBot="1" x14ac:dyDescent="0.4">
      <c r="A171" s="153" t="s">
        <v>111</v>
      </c>
      <c r="B171" s="396" t="s">
        <v>158</v>
      </c>
      <c r="C171" s="396" t="s">
        <v>409</v>
      </c>
      <c r="D171" s="396" t="s">
        <v>159</v>
      </c>
      <c r="E171" s="396" t="s">
        <v>160</v>
      </c>
      <c r="F171" s="396" t="s">
        <v>161</v>
      </c>
      <c r="G171" s="488"/>
    </row>
    <row r="172" spans="1:7" x14ac:dyDescent="0.35">
      <c r="A172" s="397" t="s">
        <v>314</v>
      </c>
      <c r="B172" s="398">
        <f>'3a. Forest EF_RF'!B391</f>
        <v>0.85156519230380057</v>
      </c>
      <c r="C172" s="398">
        <f>'3a. Forest EF_RF'!C391</f>
        <v>0.77612448136472278</v>
      </c>
      <c r="D172" s="398">
        <f>'3a. Forest EF_RF'!D391</f>
        <v>0.68069191502164283</v>
      </c>
      <c r="E172" s="398">
        <f>'3a. Forest EF_RF'!E391</f>
        <v>0.91777530369123794</v>
      </c>
      <c r="F172" s="398">
        <f>'3a. Forest EF_RF'!F391</f>
        <v>0.94715699370223749</v>
      </c>
    </row>
    <row r="173" spans="1:7" x14ac:dyDescent="0.35">
      <c r="A173" s="399" t="s">
        <v>163</v>
      </c>
      <c r="B173" s="400">
        <f>'3a. Forest EF_RF'!B392</f>
        <v>1</v>
      </c>
      <c r="C173" s="400">
        <f>'3a. Forest EF_RF'!C392</f>
        <v>1</v>
      </c>
      <c r="D173" s="400">
        <f>'3a. Forest EF_RF'!D392</f>
        <v>1</v>
      </c>
      <c r="E173" s="400">
        <f>'3a. Forest EF_RF'!E392</f>
        <v>1</v>
      </c>
      <c r="F173" s="400">
        <f>'3a. Forest EF_RF'!F392</f>
        <v>1</v>
      </c>
    </row>
    <row r="174" spans="1:7" x14ac:dyDescent="0.35">
      <c r="A174" s="399" t="s">
        <v>315</v>
      </c>
      <c r="B174" s="400">
        <f>'3a. Forest EF_RF'!B393</f>
        <v>0.23</v>
      </c>
      <c r="C174" s="400">
        <f>'3a. Forest EF_RF'!C393</f>
        <v>0</v>
      </c>
      <c r="D174" s="400">
        <f>'3a. Forest EF_RF'!D393</f>
        <v>0</v>
      </c>
      <c r="E174" s="400">
        <f>'3a. Forest EF_RF'!E393</f>
        <v>0.3</v>
      </c>
      <c r="F174" s="400">
        <f>'3a. Forest EF_RF'!F393</f>
        <v>1</v>
      </c>
    </row>
    <row r="175" spans="1:7" ht="16.5" x14ac:dyDescent="0.35">
      <c r="A175" s="489" t="s">
        <v>432</v>
      </c>
    </row>
  </sheetData>
  <mergeCells count="7">
    <mergeCell ref="D154:G154"/>
    <mergeCell ref="B154:C154"/>
    <mergeCell ref="B170:F170"/>
    <mergeCell ref="A6:G6"/>
    <mergeCell ref="B62:E62"/>
    <mergeCell ref="F62:F63"/>
    <mergeCell ref="G62:G6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4CE07-2B83-4784-812B-70DF69F7ADEB}">
  <dimension ref="A1:S55"/>
  <sheetViews>
    <sheetView workbookViewId="0">
      <selection activeCell="A37" sqref="A37"/>
    </sheetView>
  </sheetViews>
  <sheetFormatPr defaultRowHeight="14.5" x14ac:dyDescent="0.35"/>
  <cols>
    <col min="1" max="1" width="25.1796875" customWidth="1"/>
    <col min="2" max="2" width="14.453125" customWidth="1"/>
    <col min="3" max="19" width="10.54296875" customWidth="1"/>
  </cols>
  <sheetData>
    <row r="1" spans="1:7" ht="18.5" x14ac:dyDescent="0.45">
      <c r="A1" s="1" t="s">
        <v>248</v>
      </c>
    </row>
    <row r="3" spans="1:7" x14ac:dyDescent="0.35">
      <c r="A3" s="2" t="s">
        <v>1</v>
      </c>
    </row>
    <row r="4" spans="1:7" x14ac:dyDescent="0.35">
      <c r="A4" s="2"/>
    </row>
    <row r="5" spans="1:7" x14ac:dyDescent="0.35">
      <c r="A5" s="185" t="s">
        <v>392</v>
      </c>
    </row>
    <row r="6" spans="1:7" x14ac:dyDescent="0.35">
      <c r="A6" s="2"/>
    </row>
    <row r="7" spans="1:7" ht="72" customHeight="1" x14ac:dyDescent="0.35">
      <c r="A7" s="620" t="s">
        <v>393</v>
      </c>
      <c r="B7" s="620"/>
      <c r="C7" s="620"/>
      <c r="D7" s="620"/>
      <c r="E7" s="620"/>
      <c r="F7" s="620"/>
      <c r="G7" s="620"/>
    </row>
    <row r="9" spans="1:7" x14ac:dyDescent="0.35">
      <c r="A9" s="617" t="s">
        <v>244</v>
      </c>
      <c r="B9" s="617"/>
      <c r="C9" s="617"/>
      <c r="D9" s="617"/>
      <c r="E9" s="617"/>
      <c r="F9" s="617"/>
      <c r="G9" s="617"/>
    </row>
    <row r="11" spans="1:7" x14ac:dyDescent="0.35">
      <c r="A11" s="361"/>
      <c r="B11" s="362" t="s">
        <v>4</v>
      </c>
      <c r="C11" s="362" t="s">
        <v>5</v>
      </c>
      <c r="D11" s="362" t="s">
        <v>6</v>
      </c>
      <c r="E11" s="362" t="s">
        <v>7</v>
      </c>
      <c r="F11" s="362" t="s">
        <v>8</v>
      </c>
      <c r="G11" s="362" t="s">
        <v>9</v>
      </c>
    </row>
    <row r="12" spans="1:7" ht="39" x14ac:dyDescent="0.35">
      <c r="A12" s="362" t="s">
        <v>4</v>
      </c>
      <c r="B12" s="363" t="s">
        <v>10</v>
      </c>
      <c r="C12" s="364" t="s">
        <v>11</v>
      </c>
      <c r="D12" s="364" t="s">
        <v>12</v>
      </c>
      <c r="E12" s="364" t="s">
        <v>13</v>
      </c>
      <c r="F12" s="364" t="s">
        <v>14</v>
      </c>
      <c r="G12" s="364" t="s">
        <v>15</v>
      </c>
    </row>
    <row r="13" spans="1:7" ht="39" x14ac:dyDescent="0.35">
      <c r="A13" s="362" t="s">
        <v>5</v>
      </c>
      <c r="B13" s="365" t="s">
        <v>16</v>
      </c>
      <c r="C13" s="366" t="s">
        <v>17</v>
      </c>
      <c r="D13" s="366" t="s">
        <v>18</v>
      </c>
      <c r="E13" s="366" t="s">
        <v>19</v>
      </c>
      <c r="F13" s="366" t="s">
        <v>20</v>
      </c>
      <c r="G13" s="366" t="s">
        <v>21</v>
      </c>
    </row>
    <row r="14" spans="1:7" ht="39" x14ac:dyDescent="0.35">
      <c r="A14" s="362" t="s">
        <v>6</v>
      </c>
      <c r="B14" s="365" t="s">
        <v>22</v>
      </c>
      <c r="C14" s="366" t="s">
        <v>23</v>
      </c>
      <c r="D14" s="366" t="s">
        <v>24</v>
      </c>
      <c r="E14" s="366" t="s">
        <v>25</v>
      </c>
      <c r="F14" s="366" t="s">
        <v>26</v>
      </c>
      <c r="G14" s="366" t="s">
        <v>27</v>
      </c>
    </row>
    <row r="15" spans="1:7" ht="39" x14ac:dyDescent="0.35">
      <c r="A15" s="362" t="s">
        <v>7</v>
      </c>
      <c r="B15" s="365" t="s">
        <v>28</v>
      </c>
      <c r="C15" s="366" t="s">
        <v>29</v>
      </c>
      <c r="D15" s="366" t="s">
        <v>30</v>
      </c>
      <c r="E15" s="366" t="s">
        <v>31</v>
      </c>
      <c r="F15" s="366" t="s">
        <v>32</v>
      </c>
      <c r="G15" s="366" t="s">
        <v>33</v>
      </c>
    </row>
    <row r="16" spans="1:7" ht="39" x14ac:dyDescent="0.35">
      <c r="A16" s="362" t="s">
        <v>8</v>
      </c>
      <c r="B16" s="365" t="s">
        <v>34</v>
      </c>
      <c r="C16" s="366" t="s">
        <v>35</v>
      </c>
      <c r="D16" s="366" t="s">
        <v>36</v>
      </c>
      <c r="E16" s="366" t="s">
        <v>37</v>
      </c>
      <c r="F16" s="366" t="s">
        <v>38</v>
      </c>
      <c r="G16" s="366" t="s">
        <v>39</v>
      </c>
    </row>
    <row r="17" spans="1:19" ht="39" x14ac:dyDescent="0.35">
      <c r="A17" s="362" t="s">
        <v>9</v>
      </c>
      <c r="B17" s="365" t="s">
        <v>40</v>
      </c>
      <c r="C17" s="366" t="s">
        <v>41</v>
      </c>
      <c r="D17" s="366" t="s">
        <v>42</v>
      </c>
      <c r="E17" s="366" t="s">
        <v>43</v>
      </c>
      <c r="F17" s="366" t="s">
        <v>44</v>
      </c>
      <c r="G17" s="366" t="s">
        <v>45</v>
      </c>
    </row>
    <row r="20" spans="1:19" x14ac:dyDescent="0.35">
      <c r="A20" s="2" t="s">
        <v>275</v>
      </c>
    </row>
    <row r="21" spans="1:19" x14ac:dyDescent="0.35">
      <c r="A21" t="s">
        <v>396</v>
      </c>
    </row>
    <row r="23" spans="1:19" x14ac:dyDescent="0.35">
      <c r="B23" s="11"/>
    </row>
    <row r="24" spans="1:19" x14ac:dyDescent="0.35">
      <c r="B24" s="129">
        <f>Intro!B23</f>
        <v>2016</v>
      </c>
      <c r="C24" s="16" t="s">
        <v>4</v>
      </c>
      <c r="D24" s="16"/>
      <c r="E24" s="16"/>
      <c r="F24" s="16"/>
      <c r="G24" s="252" t="s">
        <v>6</v>
      </c>
      <c r="H24" s="252"/>
      <c r="I24" s="252"/>
      <c r="J24" s="257" t="s">
        <v>5</v>
      </c>
      <c r="K24" s="18" t="s">
        <v>50</v>
      </c>
      <c r="L24" s="18"/>
      <c r="M24" s="19" t="s">
        <v>51</v>
      </c>
      <c r="N24" s="19"/>
      <c r="O24" s="19"/>
      <c r="P24" s="19"/>
      <c r="Q24" s="20" t="s">
        <v>52</v>
      </c>
      <c r="R24" s="20"/>
      <c r="S24" s="123" t="s">
        <v>92</v>
      </c>
    </row>
    <row r="25" spans="1:19" ht="31.5" x14ac:dyDescent="0.35">
      <c r="A25" s="22">
        <f>Intro!B22</f>
        <v>2011</v>
      </c>
      <c r="B25" s="21"/>
      <c r="C25" s="23" t="s">
        <v>53</v>
      </c>
      <c r="D25" s="23" t="s">
        <v>54</v>
      </c>
      <c r="E25" s="23" t="s">
        <v>55</v>
      </c>
      <c r="F25" s="23" t="s">
        <v>56</v>
      </c>
      <c r="G25" s="256" t="s">
        <v>57</v>
      </c>
      <c r="H25" s="256" t="s">
        <v>58</v>
      </c>
      <c r="I25" s="256" t="s">
        <v>59</v>
      </c>
      <c r="J25" s="258" t="s">
        <v>117</v>
      </c>
      <c r="K25" s="25" t="s">
        <v>60</v>
      </c>
      <c r="L25" s="25" t="s">
        <v>61</v>
      </c>
      <c r="M25" s="26" t="s">
        <v>62</v>
      </c>
      <c r="N25" s="26" t="s">
        <v>63</v>
      </c>
      <c r="O25" s="26" t="s">
        <v>64</v>
      </c>
      <c r="P25" s="26" t="s">
        <v>65</v>
      </c>
      <c r="Q25" s="27" t="s">
        <v>66</v>
      </c>
      <c r="R25" s="27" t="s">
        <v>67</v>
      </c>
      <c r="S25" s="128">
        <f>Intro!B22</f>
        <v>2011</v>
      </c>
    </row>
    <row r="26" spans="1:19" ht="15.5" x14ac:dyDescent="0.35">
      <c r="A26" s="16" t="s">
        <v>4</v>
      </c>
      <c r="B26" s="28" t="s">
        <v>53</v>
      </c>
      <c r="C26" s="29"/>
      <c r="D26" s="30"/>
      <c r="E26" s="30"/>
      <c r="F26" s="31"/>
      <c r="G26" s="30"/>
      <c r="H26" s="31"/>
      <c r="I26" s="31"/>
      <c r="J26" s="31"/>
      <c r="K26" s="30"/>
      <c r="L26" s="31"/>
      <c r="M26" s="31"/>
      <c r="N26" s="31"/>
      <c r="O26" s="31"/>
      <c r="P26" s="31"/>
      <c r="Q26" s="30"/>
      <c r="R26" s="181"/>
      <c r="S26" s="55"/>
    </row>
    <row r="27" spans="1:19" ht="15.5" x14ac:dyDescent="0.35">
      <c r="A27" s="16"/>
      <c r="B27" s="28" t="s">
        <v>54</v>
      </c>
      <c r="C27" s="30"/>
      <c r="D27" s="31"/>
      <c r="E27" s="30"/>
      <c r="F27" s="30"/>
      <c r="G27" s="30"/>
      <c r="H27" s="31"/>
      <c r="I27" s="31"/>
      <c r="J27" s="31"/>
      <c r="K27" s="30"/>
      <c r="L27" s="30"/>
      <c r="M27" s="30"/>
      <c r="N27" s="30"/>
      <c r="O27" s="31"/>
      <c r="P27" s="31"/>
      <c r="Q27" s="30"/>
      <c r="R27" s="181"/>
      <c r="S27" s="55"/>
    </row>
    <row r="28" spans="1:19" ht="15.5" x14ac:dyDescent="0.35">
      <c r="A28" s="16"/>
      <c r="B28" s="28" t="s">
        <v>55</v>
      </c>
      <c r="C28" s="30"/>
      <c r="D28" s="30"/>
      <c r="E28" s="29"/>
      <c r="F28" s="30"/>
      <c r="G28" s="30"/>
      <c r="H28" s="31"/>
      <c r="I28" s="31"/>
      <c r="J28" s="31"/>
      <c r="K28" s="30"/>
      <c r="L28" s="30"/>
      <c r="M28" s="30"/>
      <c r="N28" s="31"/>
      <c r="O28" s="31"/>
      <c r="P28" s="31"/>
      <c r="Q28" s="30"/>
      <c r="R28" s="181"/>
      <c r="S28" s="55"/>
    </row>
    <row r="29" spans="1:19" ht="15.5" x14ac:dyDescent="0.35">
      <c r="A29" s="16"/>
      <c r="B29" s="28" t="s">
        <v>56</v>
      </c>
      <c r="C29" s="30"/>
      <c r="D29" s="30"/>
      <c r="E29" s="30"/>
      <c r="F29" s="31"/>
      <c r="G29" s="31"/>
      <c r="H29" s="31"/>
      <c r="I29" s="30"/>
      <c r="J29" s="30"/>
      <c r="K29" s="31"/>
      <c r="L29" s="31"/>
      <c r="M29" s="30"/>
      <c r="N29" s="31"/>
      <c r="O29" s="31"/>
      <c r="P29" s="31"/>
      <c r="Q29" s="31"/>
      <c r="R29" s="181"/>
      <c r="S29" s="55"/>
    </row>
    <row r="30" spans="1:19" ht="15.5" x14ac:dyDescent="0.35">
      <c r="A30" s="252" t="s">
        <v>6</v>
      </c>
      <c r="B30" s="253" t="s">
        <v>57</v>
      </c>
      <c r="C30" s="30"/>
      <c r="D30" s="30"/>
      <c r="E30" s="30"/>
      <c r="F30" s="31"/>
      <c r="G30" s="29"/>
      <c r="H30" s="31"/>
      <c r="I30" s="31"/>
      <c r="J30" s="31"/>
      <c r="K30" s="31"/>
      <c r="L30" s="31"/>
      <c r="M30" s="30"/>
      <c r="N30" s="30"/>
      <c r="O30" s="30"/>
      <c r="P30" s="30"/>
      <c r="Q30" s="30"/>
      <c r="R30" s="181"/>
      <c r="S30" s="55"/>
    </row>
    <row r="31" spans="1:19" ht="15.5" x14ac:dyDescent="0.35">
      <c r="A31" s="252"/>
      <c r="B31" s="253" t="s">
        <v>58</v>
      </c>
      <c r="C31" s="31"/>
      <c r="D31" s="30"/>
      <c r="E31" s="31"/>
      <c r="F31" s="31"/>
      <c r="G31" s="31"/>
      <c r="H31" s="29"/>
      <c r="I31" s="31"/>
      <c r="J31" s="31"/>
      <c r="K31" s="31"/>
      <c r="L31" s="31"/>
      <c r="M31" s="31"/>
      <c r="N31" s="31"/>
      <c r="O31" s="31"/>
      <c r="P31" s="31"/>
      <c r="Q31" s="30"/>
      <c r="R31" s="181"/>
      <c r="S31" s="55"/>
    </row>
    <row r="32" spans="1:19" ht="15.5" x14ac:dyDescent="0.35">
      <c r="A32" s="252"/>
      <c r="B32" s="253" t="s">
        <v>59</v>
      </c>
      <c r="C32" s="31"/>
      <c r="D32" s="30"/>
      <c r="E32" s="30"/>
      <c r="F32" s="31"/>
      <c r="G32" s="31"/>
      <c r="H32" s="31"/>
      <c r="I32" s="29"/>
      <c r="J32" s="29"/>
      <c r="K32" s="31"/>
      <c r="L32" s="31"/>
      <c r="M32" s="31"/>
      <c r="N32" s="31"/>
      <c r="O32" s="31"/>
      <c r="P32" s="31"/>
      <c r="Q32" s="30"/>
      <c r="R32" s="181"/>
      <c r="S32" s="55"/>
    </row>
    <row r="33" spans="1:19" ht="15.5" x14ac:dyDescent="0.35">
      <c r="A33" s="254" t="s">
        <v>5</v>
      </c>
      <c r="B33" s="255" t="s">
        <v>117</v>
      </c>
      <c r="C33" s="31"/>
      <c r="D33" s="30"/>
      <c r="E33" s="30"/>
      <c r="F33" s="31"/>
      <c r="G33" s="31"/>
      <c r="H33" s="31"/>
      <c r="I33" s="29"/>
      <c r="J33" s="29"/>
      <c r="K33" s="31"/>
      <c r="L33" s="31"/>
      <c r="M33" s="31"/>
      <c r="N33" s="31"/>
      <c r="O33" s="31"/>
      <c r="P33" s="31"/>
      <c r="Q33" s="30"/>
      <c r="R33" s="181"/>
      <c r="S33" s="55"/>
    </row>
    <row r="34" spans="1:19" ht="15.5" x14ac:dyDescent="0.35">
      <c r="A34" s="18" t="s">
        <v>50</v>
      </c>
      <c r="B34" s="33" t="s">
        <v>60</v>
      </c>
      <c r="C34" s="30"/>
      <c r="D34" s="30"/>
      <c r="E34" s="30"/>
      <c r="F34" s="31"/>
      <c r="G34" s="30"/>
      <c r="H34" s="30"/>
      <c r="I34" s="30"/>
      <c r="J34" s="30"/>
      <c r="K34" s="29"/>
      <c r="L34" s="31"/>
      <c r="M34" s="30"/>
      <c r="N34" s="30"/>
      <c r="O34" s="30"/>
      <c r="P34" s="31"/>
      <c r="Q34" s="31"/>
      <c r="R34" s="181"/>
      <c r="S34" s="55"/>
    </row>
    <row r="35" spans="1:19" ht="21" x14ac:dyDescent="0.35">
      <c r="A35" s="18"/>
      <c r="B35" s="33" t="s">
        <v>61</v>
      </c>
      <c r="C35" s="30"/>
      <c r="D35" s="30"/>
      <c r="E35" s="30"/>
      <c r="F35" s="31"/>
      <c r="G35" s="31"/>
      <c r="H35" s="31"/>
      <c r="I35" s="30"/>
      <c r="J35" s="30"/>
      <c r="K35" s="31"/>
      <c r="L35" s="29"/>
      <c r="M35" s="31"/>
      <c r="N35" s="31"/>
      <c r="O35" s="31"/>
      <c r="P35" s="31"/>
      <c r="Q35" s="31"/>
      <c r="R35" s="181"/>
      <c r="S35" s="55"/>
    </row>
    <row r="36" spans="1:19" ht="15.5" x14ac:dyDescent="0.35">
      <c r="A36" s="19" t="s">
        <v>51</v>
      </c>
      <c r="B36" s="34" t="s">
        <v>62</v>
      </c>
      <c r="C36" s="30"/>
      <c r="D36" s="30"/>
      <c r="E36" s="30"/>
      <c r="F36" s="30"/>
      <c r="G36" s="30"/>
      <c r="H36" s="30"/>
      <c r="I36" s="30"/>
      <c r="J36" s="30"/>
      <c r="K36" s="30"/>
      <c r="L36" s="30"/>
      <c r="M36" s="31"/>
      <c r="N36" s="30"/>
      <c r="O36" s="30"/>
      <c r="P36" s="30"/>
      <c r="Q36" s="30"/>
      <c r="R36" s="181"/>
      <c r="S36" s="55"/>
    </row>
    <row r="37" spans="1:19" ht="15.5" x14ac:dyDescent="0.35">
      <c r="A37" s="19"/>
      <c r="B37" s="34" t="s">
        <v>63</v>
      </c>
      <c r="C37" s="30"/>
      <c r="D37" s="30"/>
      <c r="E37" s="30"/>
      <c r="F37" s="30"/>
      <c r="G37" s="30"/>
      <c r="H37" s="30"/>
      <c r="I37" s="30"/>
      <c r="J37" s="30"/>
      <c r="K37" s="30"/>
      <c r="L37" s="30"/>
      <c r="M37" s="31"/>
      <c r="N37" s="29"/>
      <c r="O37" s="30"/>
      <c r="P37" s="30"/>
      <c r="Q37" s="30"/>
      <c r="R37" s="181"/>
      <c r="S37" s="55"/>
    </row>
    <row r="38" spans="1:19" ht="15.5" x14ac:dyDescent="0.35">
      <c r="A38" s="19"/>
      <c r="B38" s="34" t="s">
        <v>64</v>
      </c>
      <c r="C38" s="30"/>
      <c r="D38" s="30"/>
      <c r="E38" s="30"/>
      <c r="F38" s="30"/>
      <c r="G38" s="30"/>
      <c r="H38" s="30"/>
      <c r="I38" s="30"/>
      <c r="J38" s="30"/>
      <c r="K38" s="30"/>
      <c r="L38" s="30"/>
      <c r="M38" s="31"/>
      <c r="N38" s="31"/>
      <c r="O38" s="29"/>
      <c r="P38" s="30"/>
      <c r="Q38" s="30"/>
      <c r="R38" s="181"/>
      <c r="S38" s="55"/>
    </row>
    <row r="39" spans="1:19" ht="15.5" x14ac:dyDescent="0.35">
      <c r="A39" s="19"/>
      <c r="B39" s="34" t="s">
        <v>65</v>
      </c>
      <c r="C39" s="30"/>
      <c r="D39" s="30"/>
      <c r="E39" s="30"/>
      <c r="F39" s="30"/>
      <c r="G39" s="30"/>
      <c r="H39" s="30"/>
      <c r="I39" s="30"/>
      <c r="J39" s="30"/>
      <c r="K39" s="30"/>
      <c r="L39" s="30"/>
      <c r="M39" s="31"/>
      <c r="N39" s="31"/>
      <c r="O39" s="31"/>
      <c r="P39" s="29"/>
      <c r="Q39" s="30"/>
      <c r="R39" s="181"/>
      <c r="S39" s="55"/>
    </row>
    <row r="40" spans="1:19" ht="15.5" x14ac:dyDescent="0.35">
      <c r="A40" s="20" t="s">
        <v>52</v>
      </c>
      <c r="B40" s="35" t="s">
        <v>66</v>
      </c>
      <c r="C40" s="31"/>
      <c r="D40" s="30"/>
      <c r="E40" s="30"/>
      <c r="F40" s="31"/>
      <c r="G40" s="30"/>
      <c r="H40" s="31"/>
      <c r="I40" s="31"/>
      <c r="J40" s="31"/>
      <c r="K40" s="31"/>
      <c r="L40" s="31"/>
      <c r="M40" s="30"/>
      <c r="N40" s="31"/>
      <c r="O40" s="31"/>
      <c r="P40" s="31"/>
      <c r="Q40" s="29"/>
      <c r="R40" s="181"/>
      <c r="S40" s="55"/>
    </row>
    <row r="41" spans="1:19" ht="15.5" x14ac:dyDescent="0.35">
      <c r="A41" s="20"/>
      <c r="B41" s="35" t="s">
        <v>68</v>
      </c>
      <c r="C41" s="182"/>
      <c r="D41" s="182"/>
      <c r="E41" s="182"/>
      <c r="F41" s="182"/>
      <c r="G41" s="182"/>
      <c r="H41" s="182"/>
      <c r="I41" s="182"/>
      <c r="J41" s="182"/>
      <c r="K41" s="182"/>
      <c r="L41" s="182"/>
      <c r="M41" s="182"/>
      <c r="N41" s="182"/>
      <c r="O41" s="182"/>
      <c r="P41" s="182"/>
      <c r="Q41" s="182"/>
      <c r="R41" s="183"/>
      <c r="S41" s="184"/>
    </row>
    <row r="42" spans="1:19" x14ac:dyDescent="0.35">
      <c r="A42" s="124" t="s">
        <v>92</v>
      </c>
      <c r="B42" s="55">
        <f>Intro!B23</f>
        <v>2016</v>
      </c>
      <c r="C42" s="55"/>
      <c r="D42" s="55"/>
      <c r="E42" s="55"/>
      <c r="F42" s="55"/>
      <c r="G42" s="55"/>
      <c r="H42" s="55"/>
      <c r="I42" s="55"/>
      <c r="J42" s="55"/>
      <c r="K42" s="55"/>
      <c r="L42" s="55"/>
      <c r="M42" s="55"/>
      <c r="N42" s="55"/>
      <c r="O42" s="55"/>
      <c r="P42" s="55"/>
      <c r="Q42" s="55"/>
      <c r="R42" s="55"/>
      <c r="S42" s="55"/>
    </row>
    <row r="44" spans="1:19" x14ac:dyDescent="0.35">
      <c r="A44" s="2" t="s">
        <v>394</v>
      </c>
    </row>
    <row r="45" spans="1:19" x14ac:dyDescent="0.35">
      <c r="A45" t="s">
        <v>395</v>
      </c>
    </row>
    <row r="47" spans="1:19" x14ac:dyDescent="0.35">
      <c r="B47">
        <f>Intro!B23</f>
        <v>2016</v>
      </c>
    </row>
    <row r="48" spans="1:19" x14ac:dyDescent="0.35">
      <c r="A48" s="180">
        <f>Intro!B22</f>
        <v>2011</v>
      </c>
      <c r="B48" s="16" t="s">
        <v>4</v>
      </c>
      <c r="C48" s="252" t="s">
        <v>6</v>
      </c>
      <c r="D48" s="257" t="s">
        <v>5</v>
      </c>
      <c r="E48" s="18" t="s">
        <v>50</v>
      </c>
      <c r="F48" s="19" t="s">
        <v>51</v>
      </c>
      <c r="G48" s="20" t="s">
        <v>52</v>
      </c>
      <c r="H48" s="165" t="s">
        <v>92</v>
      </c>
    </row>
    <row r="49" spans="1:8" x14ac:dyDescent="0.35">
      <c r="A49" s="16" t="s">
        <v>4</v>
      </c>
      <c r="B49" s="174"/>
      <c r="C49" s="175"/>
      <c r="D49" s="174"/>
      <c r="E49" s="176"/>
      <c r="F49" s="174"/>
      <c r="G49" s="175"/>
      <c r="H49" s="175"/>
    </row>
    <row r="50" spans="1:8" x14ac:dyDescent="0.35">
      <c r="A50" s="252" t="s">
        <v>6</v>
      </c>
      <c r="B50" s="175"/>
      <c r="C50" s="174"/>
      <c r="D50" s="174"/>
      <c r="E50" s="177"/>
      <c r="F50" s="175"/>
      <c r="G50" s="175"/>
      <c r="H50" s="178"/>
    </row>
    <row r="51" spans="1:8" x14ac:dyDescent="0.35">
      <c r="A51" s="254" t="s">
        <v>5</v>
      </c>
      <c r="B51" s="174"/>
      <c r="C51" s="174"/>
      <c r="D51" s="174"/>
      <c r="E51" s="177"/>
      <c r="F51" s="174"/>
      <c r="G51" s="175"/>
      <c r="H51" s="178"/>
    </row>
    <row r="52" spans="1:8" x14ac:dyDescent="0.35">
      <c r="A52" s="18" t="s">
        <v>50</v>
      </c>
      <c r="B52" s="175"/>
      <c r="C52" s="175"/>
      <c r="D52" s="175"/>
      <c r="E52" s="177"/>
      <c r="F52" s="175"/>
      <c r="G52" s="174"/>
      <c r="H52" s="178"/>
    </row>
    <row r="53" spans="1:8" x14ac:dyDescent="0.35">
      <c r="A53" s="19" t="s">
        <v>51</v>
      </c>
      <c r="B53" s="175"/>
      <c r="C53" s="175"/>
      <c r="D53" s="175"/>
      <c r="E53" s="176"/>
      <c r="F53" s="174"/>
      <c r="G53" s="175"/>
      <c r="H53" s="178"/>
    </row>
    <row r="54" spans="1:8" x14ac:dyDescent="0.35">
      <c r="A54" s="20" t="s">
        <v>52</v>
      </c>
      <c r="B54" s="174"/>
      <c r="C54" s="175"/>
      <c r="D54" s="174"/>
      <c r="E54" s="177"/>
      <c r="F54" s="175"/>
      <c r="G54" s="174"/>
      <c r="H54" s="178"/>
    </row>
    <row r="55" spans="1:8" x14ac:dyDescent="0.35">
      <c r="A55" s="124" t="s">
        <v>92</v>
      </c>
      <c r="B55" s="174"/>
      <c r="C55" s="179"/>
      <c r="D55" s="179"/>
      <c r="E55" s="179"/>
      <c r="F55" s="179"/>
      <c r="G55" s="179"/>
      <c r="H55" s="179"/>
    </row>
  </sheetData>
  <mergeCells count="2">
    <mergeCell ref="A9:G9"/>
    <mergeCell ref="A7:G7"/>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39F84-0714-4597-97CD-AC78755D2BC5}">
  <dimension ref="A1:W55"/>
  <sheetViews>
    <sheetView topLeftCell="A43" zoomScale="80" zoomScaleNormal="80" workbookViewId="0">
      <selection activeCell="K38" sqref="K38"/>
    </sheetView>
  </sheetViews>
  <sheetFormatPr defaultRowHeight="14.5" x14ac:dyDescent="0.35"/>
  <cols>
    <col min="1" max="1" width="21.54296875" customWidth="1"/>
    <col min="2" max="2" width="14.54296875" customWidth="1"/>
    <col min="3" max="20" width="10.54296875" customWidth="1"/>
    <col min="22" max="22" width="10.26953125" customWidth="1"/>
  </cols>
  <sheetData>
    <row r="1" spans="1:23" ht="18.5" x14ac:dyDescent="0.45">
      <c r="A1" s="1" t="s">
        <v>248</v>
      </c>
    </row>
    <row r="2" spans="1:23" x14ac:dyDescent="0.35">
      <c r="A2" s="275" t="s">
        <v>249</v>
      </c>
    </row>
    <row r="4" spans="1:23" x14ac:dyDescent="0.35">
      <c r="A4" s="185" t="s">
        <v>397</v>
      </c>
    </row>
    <row r="5" spans="1:23" ht="30.65" customHeight="1" x14ac:dyDescent="0.35">
      <c r="A5" s="622" t="s">
        <v>434</v>
      </c>
      <c r="B5" s="622"/>
      <c r="C5" s="622"/>
      <c r="D5" s="622"/>
      <c r="E5" s="622"/>
      <c r="F5" s="622"/>
      <c r="G5" s="622"/>
    </row>
    <row r="6" spans="1:23" ht="31" customHeight="1" x14ac:dyDescent="0.35">
      <c r="A6" s="622" t="s">
        <v>435</v>
      </c>
      <c r="B6" s="622"/>
      <c r="C6" s="622"/>
      <c r="D6" s="622"/>
      <c r="E6" s="622"/>
      <c r="F6" s="622"/>
      <c r="G6" s="622"/>
    </row>
    <row r="8" spans="1:23" x14ac:dyDescent="0.35">
      <c r="A8" s="2" t="s">
        <v>433</v>
      </c>
    </row>
    <row r="9" spans="1:23" x14ac:dyDescent="0.35">
      <c r="E9" s="39"/>
      <c r="R9" s="39"/>
    </row>
    <row r="10" spans="1:23" x14ac:dyDescent="0.35">
      <c r="A10" s="11"/>
      <c r="C10" s="2" t="s">
        <v>170</v>
      </c>
    </row>
    <row r="11" spans="1:23" x14ac:dyDescent="0.35">
      <c r="A11" s="11"/>
      <c r="B11" s="15">
        <f>'1. Stratification'!B24</f>
        <v>2016</v>
      </c>
      <c r="C11" s="16" t="s">
        <v>4</v>
      </c>
      <c r="D11" s="16"/>
      <c r="E11" s="16"/>
      <c r="F11" s="16"/>
      <c r="G11" s="252" t="s">
        <v>6</v>
      </c>
      <c r="H11" s="252"/>
      <c r="I11" s="252"/>
      <c r="J11" s="257" t="s">
        <v>5</v>
      </c>
      <c r="K11" s="18" t="s">
        <v>50</v>
      </c>
      <c r="L11" s="18"/>
      <c r="M11" s="19" t="s">
        <v>51</v>
      </c>
      <c r="N11" s="19"/>
      <c r="O11" s="19"/>
      <c r="P11" s="19"/>
      <c r="Q11" s="20" t="s">
        <v>52</v>
      </c>
      <c r="R11" s="20"/>
      <c r="S11" s="123" t="s">
        <v>92</v>
      </c>
    </row>
    <row r="12" spans="1:23" ht="40" customHeight="1" x14ac:dyDescent="0.35">
      <c r="A12" s="22">
        <f>'1. Stratification'!A25</f>
        <v>2011</v>
      </c>
      <c r="B12" s="21"/>
      <c r="C12" s="23" t="s">
        <v>53</v>
      </c>
      <c r="D12" s="23" t="s">
        <v>54</v>
      </c>
      <c r="E12" s="23" t="s">
        <v>55</v>
      </c>
      <c r="F12" s="23" t="s">
        <v>56</v>
      </c>
      <c r="G12" s="256" t="s">
        <v>57</v>
      </c>
      <c r="H12" s="256" t="s">
        <v>58</v>
      </c>
      <c r="I12" s="256" t="s">
        <v>59</v>
      </c>
      <c r="J12" s="258" t="s">
        <v>117</v>
      </c>
      <c r="K12" s="25" t="s">
        <v>60</v>
      </c>
      <c r="L12" s="25" t="s">
        <v>61</v>
      </c>
      <c r="M12" s="26" t="s">
        <v>62</v>
      </c>
      <c r="N12" s="26" t="s">
        <v>63</v>
      </c>
      <c r="O12" s="26" t="s">
        <v>64</v>
      </c>
      <c r="P12" s="26" t="s">
        <v>65</v>
      </c>
      <c r="Q12" s="27" t="s">
        <v>66</v>
      </c>
      <c r="R12" s="27" t="s">
        <v>67</v>
      </c>
      <c r="S12" s="128">
        <f>Intro!B22</f>
        <v>2011</v>
      </c>
      <c r="T12" s="12" t="s">
        <v>329</v>
      </c>
      <c r="U12" s="12" t="s">
        <v>328</v>
      </c>
      <c r="V12" s="12" t="s">
        <v>330</v>
      </c>
      <c r="W12" s="83" t="s">
        <v>327</v>
      </c>
    </row>
    <row r="13" spans="1:23" x14ac:dyDescent="0.35">
      <c r="A13" s="16" t="s">
        <v>4</v>
      </c>
      <c r="B13" s="28" t="s">
        <v>53</v>
      </c>
      <c r="C13" s="39">
        <v>414.43852112384343</v>
      </c>
      <c r="D13" s="39">
        <v>1.7391156860399899</v>
      </c>
      <c r="E13" s="39">
        <v>0.54083035888679998</v>
      </c>
      <c r="F13" s="403"/>
      <c r="G13" s="39">
        <v>0.11994550781299999</v>
      </c>
      <c r="H13" s="39">
        <v>4.0227252319389883</v>
      </c>
      <c r="I13" s="39">
        <v>5.87948367919899</v>
      </c>
      <c r="J13" s="403"/>
      <c r="K13" s="39">
        <v>0.29964271240200002</v>
      </c>
      <c r="L13" s="403"/>
      <c r="M13" s="403"/>
      <c r="N13" s="39">
        <v>6.0096881103499998E-2</v>
      </c>
      <c r="O13" s="39">
        <v>0</v>
      </c>
      <c r="P13" s="403"/>
      <c r="Q13" s="403"/>
      <c r="R13" s="403"/>
      <c r="S13" s="115">
        <f>SUM(C13:R13)</f>
        <v>427.10036118122667</v>
      </c>
      <c r="T13" s="406">
        <f>SUM(C13:F13)</f>
        <v>416.71846716877025</v>
      </c>
      <c r="U13" s="406">
        <f>SUM(C$13:F$16)</f>
        <v>43889.348918201787</v>
      </c>
      <c r="V13" s="51">
        <f>T13/U13</f>
        <v>9.494751629727384E-3</v>
      </c>
      <c r="W13" s="39">
        <f>SUM(S13:S16)</f>
        <v>44211.66954545406</v>
      </c>
    </row>
    <row r="14" spans="1:23" x14ac:dyDescent="0.35">
      <c r="A14" s="16"/>
      <c r="B14" s="28" t="s">
        <v>54</v>
      </c>
      <c r="C14" s="39">
        <v>0.11993306274399999</v>
      </c>
      <c r="D14" s="39">
        <v>6954.05202374289</v>
      </c>
      <c r="E14" s="39">
        <v>1.4390758178667</v>
      </c>
      <c r="F14" s="403"/>
      <c r="G14" s="39">
        <v>0.35972032470699999</v>
      </c>
      <c r="H14" s="39">
        <v>3.358977569581</v>
      </c>
      <c r="I14" s="39">
        <v>2.2792773376496998</v>
      </c>
      <c r="J14" s="39">
        <v>0.479919128418</v>
      </c>
      <c r="K14" s="39">
        <v>0.29974293212899999</v>
      </c>
      <c r="L14" s="403"/>
      <c r="M14" s="39">
        <v>6.0011102294899997E-2</v>
      </c>
      <c r="N14" s="39">
        <v>0.30028242797900001</v>
      </c>
      <c r="O14" s="39">
        <v>2.6377212402299999</v>
      </c>
      <c r="P14" s="39">
        <v>11.519886090124899</v>
      </c>
      <c r="Q14" s="403"/>
      <c r="R14" s="403"/>
      <c r="S14" s="115">
        <f t="shared" ref="S14:S28" si="0">SUM(C14:R14)</f>
        <v>6976.9065707766158</v>
      </c>
      <c r="T14" s="406">
        <f t="shared" ref="T14:T16" si="1">SUM(C14:F14)</f>
        <v>6955.6110326235012</v>
      </c>
      <c r="U14" s="406">
        <f t="shared" ref="U14:U16" si="2">SUM(C$13:F$16)</f>
        <v>43889.348918201787</v>
      </c>
      <c r="V14" s="51">
        <f t="shared" ref="V14:V16" si="3">T14/U14</f>
        <v>0.15848061554950227</v>
      </c>
    </row>
    <row r="15" spans="1:23" x14ac:dyDescent="0.35">
      <c r="A15" s="16"/>
      <c r="B15" s="28" t="s">
        <v>55</v>
      </c>
      <c r="C15" s="39">
        <v>0.119825695801</v>
      </c>
      <c r="D15" s="39">
        <v>19.487654180873399</v>
      </c>
      <c r="E15" s="39">
        <v>32543.677893116866</v>
      </c>
      <c r="F15" s="403"/>
      <c r="G15" s="39">
        <v>3.716066894533999</v>
      </c>
      <c r="H15" s="39">
        <v>94.721269439689593</v>
      </c>
      <c r="I15" s="39">
        <v>29.163183978231</v>
      </c>
      <c r="J15" s="39">
        <v>1.7369419555699901</v>
      </c>
      <c r="K15" s="39">
        <v>3.12037846069</v>
      </c>
      <c r="L15" s="39">
        <v>0.23954719238299901</v>
      </c>
      <c r="M15" s="39">
        <v>5.2788443603466995</v>
      </c>
      <c r="N15" s="39">
        <v>28.736691626021589</v>
      </c>
      <c r="O15" s="39">
        <v>40.609264361604986</v>
      </c>
      <c r="P15" s="39">
        <v>64.542242822274687</v>
      </c>
      <c r="Q15" s="39">
        <v>0</v>
      </c>
      <c r="R15" s="403"/>
      <c r="S15" s="115">
        <f t="shared" si="0"/>
        <v>32835.149804084889</v>
      </c>
      <c r="T15" s="406">
        <f t="shared" si="1"/>
        <v>32563.285372993541</v>
      </c>
      <c r="U15" s="406">
        <f t="shared" si="2"/>
        <v>43889.348918201787</v>
      </c>
      <c r="V15" s="51">
        <f t="shared" si="3"/>
        <v>0.74194049753809166</v>
      </c>
    </row>
    <row r="16" spans="1:23" x14ac:dyDescent="0.35">
      <c r="A16" s="16"/>
      <c r="B16" s="28" t="s">
        <v>56</v>
      </c>
      <c r="C16" s="403"/>
      <c r="D16" s="403"/>
      <c r="E16" s="403"/>
      <c r="F16" s="39">
        <v>3953.7340454159757</v>
      </c>
      <c r="G16" s="403"/>
      <c r="H16" s="403"/>
      <c r="I16" s="403"/>
      <c r="J16" s="403"/>
      <c r="K16" s="39">
        <v>2.8810914062499999</v>
      </c>
      <c r="L16" s="39">
        <v>14.0992994689844</v>
      </c>
      <c r="M16" s="403"/>
      <c r="N16" s="39">
        <v>0.119827587891</v>
      </c>
      <c r="O16" s="39">
        <v>0.72006494140659905</v>
      </c>
      <c r="P16" s="39">
        <v>0.95848059082039994</v>
      </c>
      <c r="Q16" s="403"/>
      <c r="R16" s="403"/>
      <c r="S16" s="115">
        <f t="shared" si="0"/>
        <v>3972.5128094113284</v>
      </c>
      <c r="T16" s="406">
        <f t="shared" si="1"/>
        <v>3953.7340454159757</v>
      </c>
      <c r="U16" s="406">
        <f t="shared" si="2"/>
        <v>43889.348918201787</v>
      </c>
      <c r="V16" s="51">
        <f t="shared" si="3"/>
        <v>9.0084135282678654E-2</v>
      </c>
    </row>
    <row r="17" spans="1:20" x14ac:dyDescent="0.35">
      <c r="A17" s="252" t="s">
        <v>6</v>
      </c>
      <c r="B17" s="253" t="s">
        <v>57</v>
      </c>
      <c r="C17" s="39">
        <v>1.4994875244099899</v>
      </c>
      <c r="D17" s="39">
        <v>8.2180182251009999</v>
      </c>
      <c r="E17" s="39">
        <v>14.690198162858001</v>
      </c>
      <c r="F17" s="39">
        <v>0.29965944824200003</v>
      </c>
      <c r="G17" s="611"/>
      <c r="H17" s="611"/>
      <c r="I17" s="611"/>
      <c r="J17" s="611"/>
      <c r="K17" s="611"/>
      <c r="L17" s="611"/>
      <c r="M17" s="612"/>
      <c r="N17" s="612"/>
      <c r="O17" s="612"/>
      <c r="P17" s="612"/>
      <c r="Q17" s="612"/>
      <c r="R17" s="612"/>
      <c r="S17" s="404">
        <f t="shared" si="0"/>
        <v>24.707363360610991</v>
      </c>
    </row>
    <row r="18" spans="1:20" x14ac:dyDescent="0.35">
      <c r="A18" s="252"/>
      <c r="B18" s="253" t="s">
        <v>58</v>
      </c>
      <c r="C18" s="39">
        <v>1.1391951843299899</v>
      </c>
      <c r="D18" s="39">
        <v>4.8557468872039999</v>
      </c>
      <c r="E18" s="39">
        <v>23.453504235868799</v>
      </c>
      <c r="F18" s="403"/>
      <c r="G18" s="611"/>
      <c r="H18" s="611"/>
      <c r="I18" s="611"/>
      <c r="J18" s="611"/>
      <c r="K18" s="611"/>
      <c r="L18" s="611"/>
      <c r="M18" s="611"/>
      <c r="N18" s="611"/>
      <c r="O18" s="611"/>
      <c r="P18" s="611"/>
      <c r="Q18" s="612"/>
      <c r="R18" s="612"/>
      <c r="S18" s="404">
        <f t="shared" si="0"/>
        <v>29.44844630740279</v>
      </c>
    </row>
    <row r="19" spans="1:20" x14ac:dyDescent="0.35">
      <c r="A19" s="252"/>
      <c r="B19" s="253" t="s">
        <v>59</v>
      </c>
      <c r="C19" s="39">
        <v>3.77786729125999</v>
      </c>
      <c r="D19" s="39">
        <v>64.989915618923405</v>
      </c>
      <c r="E19" s="39">
        <v>148.51457336389419</v>
      </c>
      <c r="F19" s="39">
        <v>0.119862646484</v>
      </c>
      <c r="G19" s="611"/>
      <c r="H19" s="611"/>
      <c r="I19" s="611"/>
      <c r="J19" s="611"/>
      <c r="K19" s="611"/>
      <c r="L19" s="611"/>
      <c r="M19" s="611"/>
      <c r="N19" s="611"/>
      <c r="O19" s="611"/>
      <c r="P19" s="611"/>
      <c r="Q19" s="612"/>
      <c r="R19" s="612"/>
      <c r="S19" s="404">
        <f t="shared" si="0"/>
        <v>217.40221892056158</v>
      </c>
      <c r="T19" s="246"/>
    </row>
    <row r="20" spans="1:20" x14ac:dyDescent="0.35">
      <c r="A20" s="254" t="s">
        <v>5</v>
      </c>
      <c r="B20" s="255" t="s">
        <v>117</v>
      </c>
      <c r="C20" s="403"/>
      <c r="D20" s="403"/>
      <c r="E20" s="403"/>
      <c r="F20" s="403"/>
      <c r="G20" s="611"/>
      <c r="H20" s="611"/>
      <c r="I20" s="611"/>
      <c r="J20" s="611"/>
      <c r="K20" s="611"/>
      <c r="L20" s="611"/>
      <c r="M20" s="611"/>
      <c r="N20" s="611"/>
      <c r="O20" s="611"/>
      <c r="P20" s="611"/>
      <c r="Q20" s="612"/>
      <c r="R20" s="612"/>
      <c r="S20" s="404">
        <f t="shared" si="0"/>
        <v>0</v>
      </c>
    </row>
    <row r="21" spans="1:20" x14ac:dyDescent="0.35">
      <c r="A21" s="18" t="s">
        <v>50</v>
      </c>
      <c r="B21" s="33" t="s">
        <v>60</v>
      </c>
      <c r="C21" s="403"/>
      <c r="D21" s="39">
        <v>1.140419110107999</v>
      </c>
      <c r="E21" s="39">
        <v>6.8426142394999996</v>
      </c>
      <c r="F21" s="39">
        <v>26.3707287048605</v>
      </c>
      <c r="G21" s="612"/>
      <c r="H21" s="612"/>
      <c r="I21" s="612"/>
      <c r="J21" s="612"/>
      <c r="K21" s="611"/>
      <c r="L21" s="611"/>
      <c r="M21" s="612"/>
      <c r="N21" s="612"/>
      <c r="O21" s="612"/>
      <c r="P21" s="611"/>
      <c r="Q21" s="611"/>
      <c r="R21" s="612"/>
      <c r="S21" s="404">
        <f t="shared" si="0"/>
        <v>34.353762054468497</v>
      </c>
    </row>
    <row r="22" spans="1:20" ht="21" x14ac:dyDescent="0.35">
      <c r="A22" s="18"/>
      <c r="B22" s="33" t="s">
        <v>61</v>
      </c>
      <c r="C22" s="403"/>
      <c r="D22" s="403"/>
      <c r="E22" s="39">
        <v>0</v>
      </c>
      <c r="F22" s="39">
        <v>33.1204056091075</v>
      </c>
      <c r="G22" s="611"/>
      <c r="H22" s="611"/>
      <c r="I22" s="612"/>
      <c r="J22" s="612"/>
      <c r="K22" s="611"/>
      <c r="L22" s="611"/>
      <c r="M22" s="611"/>
      <c r="N22" s="611"/>
      <c r="O22" s="611"/>
      <c r="P22" s="611"/>
      <c r="Q22" s="611"/>
      <c r="R22" s="612"/>
      <c r="S22" s="404">
        <f t="shared" si="0"/>
        <v>33.1204056091075</v>
      </c>
    </row>
    <row r="23" spans="1:20" x14ac:dyDescent="0.35">
      <c r="A23" s="19" t="s">
        <v>51</v>
      </c>
      <c r="B23" s="34" t="s">
        <v>62</v>
      </c>
      <c r="C23" s="403"/>
      <c r="D23" s="403"/>
      <c r="E23" s="403"/>
      <c r="F23" s="403"/>
      <c r="G23" s="612"/>
      <c r="H23" s="612"/>
      <c r="I23" s="612"/>
      <c r="J23" s="612"/>
      <c r="K23" s="612"/>
      <c r="L23" s="612"/>
      <c r="M23" s="611"/>
      <c r="N23" s="612"/>
      <c r="O23" s="612"/>
      <c r="P23" s="612"/>
      <c r="Q23" s="612"/>
      <c r="R23" s="612"/>
      <c r="S23" s="404">
        <f t="shared" si="0"/>
        <v>0</v>
      </c>
    </row>
    <row r="24" spans="1:20" x14ac:dyDescent="0.35">
      <c r="A24" s="19"/>
      <c r="B24" s="34" t="s">
        <v>63</v>
      </c>
      <c r="C24" s="403"/>
      <c r="D24" s="403"/>
      <c r="E24" s="403"/>
      <c r="F24" s="403"/>
      <c r="G24" s="612"/>
      <c r="H24" s="612"/>
      <c r="I24" s="612"/>
      <c r="J24" s="612"/>
      <c r="K24" s="612"/>
      <c r="L24" s="612"/>
      <c r="M24" s="611"/>
      <c r="N24" s="611"/>
      <c r="O24" s="612"/>
      <c r="P24" s="612"/>
      <c r="Q24" s="612"/>
      <c r="R24" s="612"/>
      <c r="S24" s="404">
        <f t="shared" si="0"/>
        <v>0</v>
      </c>
    </row>
    <row r="25" spans="1:20" x14ac:dyDescent="0.35">
      <c r="A25" s="19"/>
      <c r="B25" s="34" t="s">
        <v>64</v>
      </c>
      <c r="C25" s="403"/>
      <c r="D25" s="403"/>
      <c r="E25" s="403"/>
      <c r="F25" s="403"/>
      <c r="G25" s="612"/>
      <c r="H25" s="612"/>
      <c r="I25" s="612"/>
      <c r="J25" s="612"/>
      <c r="K25" s="612"/>
      <c r="L25" s="612"/>
      <c r="M25" s="611"/>
      <c r="N25" s="611"/>
      <c r="O25" s="611"/>
      <c r="P25" s="612"/>
      <c r="Q25" s="612"/>
      <c r="R25" s="612"/>
      <c r="S25" s="404">
        <f t="shared" si="0"/>
        <v>0</v>
      </c>
    </row>
    <row r="26" spans="1:20" x14ac:dyDescent="0.35">
      <c r="A26" s="19"/>
      <c r="B26" s="34" t="s">
        <v>65</v>
      </c>
      <c r="C26" s="403"/>
      <c r="D26" s="403"/>
      <c r="E26" s="403"/>
      <c r="F26" s="403"/>
      <c r="G26" s="612"/>
      <c r="H26" s="612"/>
      <c r="I26" s="612"/>
      <c r="J26" s="612"/>
      <c r="K26" s="612"/>
      <c r="L26" s="612"/>
      <c r="M26" s="611"/>
      <c r="N26" s="611"/>
      <c r="O26" s="611"/>
      <c r="P26" s="611"/>
      <c r="Q26" s="612"/>
      <c r="R26" s="612"/>
      <c r="S26" s="404">
        <f t="shared" si="0"/>
        <v>0</v>
      </c>
    </row>
    <row r="27" spans="1:20" x14ac:dyDescent="0.35">
      <c r="A27" s="20" t="s">
        <v>52</v>
      </c>
      <c r="B27" s="35" t="s">
        <v>66</v>
      </c>
      <c r="C27" s="403"/>
      <c r="D27" s="403"/>
      <c r="E27" s="39">
        <v>0.12016177978499901</v>
      </c>
      <c r="F27" s="403"/>
      <c r="G27" s="612"/>
      <c r="H27" s="611"/>
      <c r="I27" s="611"/>
      <c r="J27" s="611"/>
      <c r="K27" s="611"/>
      <c r="L27" s="611"/>
      <c r="M27" s="612"/>
      <c r="N27" s="611"/>
      <c r="O27" s="611"/>
      <c r="P27" s="611"/>
      <c r="Q27" s="611"/>
      <c r="R27" s="612"/>
      <c r="S27" s="404">
        <f t="shared" si="0"/>
        <v>0.12016177978499901</v>
      </c>
      <c r="T27" s="118" t="s">
        <v>77</v>
      </c>
    </row>
    <row r="28" spans="1:20" x14ac:dyDescent="0.35">
      <c r="A28" s="20"/>
      <c r="B28" s="35" t="s">
        <v>68</v>
      </c>
      <c r="C28" s="403"/>
      <c r="D28" s="403"/>
      <c r="E28" s="403"/>
      <c r="F28" s="403"/>
      <c r="G28" s="612"/>
      <c r="H28" s="612"/>
      <c r="I28" s="612"/>
      <c r="J28" s="612"/>
      <c r="K28" s="612"/>
      <c r="L28" s="612"/>
      <c r="M28" s="612"/>
      <c r="N28" s="612"/>
      <c r="O28" s="612"/>
      <c r="P28" s="612"/>
      <c r="Q28" s="612"/>
      <c r="R28" s="611"/>
      <c r="S28" s="404">
        <f t="shared" si="0"/>
        <v>0</v>
      </c>
      <c r="T28" s="119">
        <f>Intro!B22</f>
        <v>2011</v>
      </c>
    </row>
    <row r="29" spans="1:20" x14ac:dyDescent="0.35">
      <c r="A29" s="124" t="s">
        <v>92</v>
      </c>
      <c r="B29" s="124">
        <f>Intro!B23</f>
        <v>2016</v>
      </c>
      <c r="C29" s="122">
        <f>SUM(C13:C28)</f>
        <v>421.09482988238841</v>
      </c>
      <c r="D29" s="122">
        <f t="shared" ref="D29:R29" si="4">SUM(D13:D28)</f>
        <v>7054.4828934511406</v>
      </c>
      <c r="E29" s="122">
        <f t="shared" si="4"/>
        <v>32739.278851075524</v>
      </c>
      <c r="F29" s="122">
        <f t="shared" si="4"/>
        <v>4013.6447018246695</v>
      </c>
      <c r="G29" s="405">
        <f t="shared" si="4"/>
        <v>4.1957327270539988</v>
      </c>
      <c r="H29" s="405">
        <f t="shared" si="4"/>
        <v>102.10297224120959</v>
      </c>
      <c r="I29" s="405">
        <f t="shared" si="4"/>
        <v>37.32194499507969</v>
      </c>
      <c r="J29" s="405">
        <f t="shared" si="4"/>
        <v>2.2168610839879901</v>
      </c>
      <c r="K29" s="405">
        <f t="shared" si="4"/>
        <v>6.6008555114709999</v>
      </c>
      <c r="L29" s="405">
        <f t="shared" si="4"/>
        <v>14.338846661367398</v>
      </c>
      <c r="M29" s="405">
        <f t="shared" si="4"/>
        <v>5.3388554626415994</v>
      </c>
      <c r="N29" s="405">
        <f t="shared" si="4"/>
        <v>29.216898522995088</v>
      </c>
      <c r="O29" s="405">
        <f t="shared" si="4"/>
        <v>43.967050543241584</v>
      </c>
      <c r="P29" s="405">
        <f t="shared" si="4"/>
        <v>77.020609503219987</v>
      </c>
      <c r="Q29" s="405">
        <f t="shared" si="4"/>
        <v>0</v>
      </c>
      <c r="R29" s="405">
        <f t="shared" si="4"/>
        <v>0</v>
      </c>
      <c r="S29" s="116"/>
      <c r="T29" s="189">
        <f>SUM(C29:R29)</f>
        <v>44550.821903485994</v>
      </c>
    </row>
    <row r="30" spans="1:20" x14ac:dyDescent="0.35">
      <c r="G30" s="80"/>
      <c r="H30" s="80"/>
      <c r="I30" s="80"/>
      <c r="J30" s="80"/>
      <c r="K30" s="80"/>
      <c r="L30" s="80"/>
      <c r="M30" s="80"/>
      <c r="N30" s="80"/>
      <c r="O30" s="80"/>
      <c r="P30" s="80"/>
      <c r="Q30" s="117" t="s">
        <v>77</v>
      </c>
      <c r="R30" s="119">
        <f>Intro!B23</f>
        <v>2016</v>
      </c>
      <c r="S30" s="189">
        <f>SUM(S13:S28)</f>
        <v>44550.821903486001</v>
      </c>
    </row>
    <row r="32" spans="1:20" x14ac:dyDescent="0.35">
      <c r="A32" s="2" t="s">
        <v>436</v>
      </c>
    </row>
    <row r="34" spans="1:14" x14ac:dyDescent="0.35">
      <c r="B34">
        <f>Intro!B23</f>
        <v>2016</v>
      </c>
      <c r="C34" s="2" t="s">
        <v>170</v>
      </c>
    </row>
    <row r="35" spans="1:14" x14ac:dyDescent="0.35">
      <c r="A35" s="180">
        <f>Intro!B22</f>
        <v>2011</v>
      </c>
      <c r="B35" s="16" t="s">
        <v>4</v>
      </c>
      <c r="C35" s="252" t="s">
        <v>6</v>
      </c>
      <c r="D35" s="257" t="s">
        <v>5</v>
      </c>
      <c r="E35" s="18" t="s">
        <v>50</v>
      </c>
      <c r="F35" s="19" t="s">
        <v>51</v>
      </c>
      <c r="G35" s="20" t="s">
        <v>52</v>
      </c>
      <c r="H35" s="165" t="s">
        <v>92</v>
      </c>
    </row>
    <row r="36" spans="1:14" x14ac:dyDescent="0.35">
      <c r="A36" s="16" t="s">
        <v>4</v>
      </c>
      <c r="B36" s="187">
        <f>SUM(C13:F16)</f>
        <v>43889.348918201787</v>
      </c>
      <c r="C36" s="175">
        <f>SUM(G13:I16)</f>
        <v>143.62064996334325</v>
      </c>
      <c r="D36" s="174">
        <f>SUM(J13:J16)</f>
        <v>2.2168610839879901</v>
      </c>
      <c r="E36" s="176">
        <f>SUM(K13:L16)</f>
        <v>20.939702172838398</v>
      </c>
      <c r="F36" s="174">
        <f>SUM(M13:P16)</f>
        <v>155.54341403209824</v>
      </c>
      <c r="G36" s="175">
        <f>SUM(Q13:R16)</f>
        <v>0</v>
      </c>
      <c r="H36" s="175">
        <f>SUM(B36:G36)</f>
        <v>44211.669545454053</v>
      </c>
    </row>
    <row r="37" spans="1:14" x14ac:dyDescent="0.35">
      <c r="A37" s="252" t="s">
        <v>6</v>
      </c>
      <c r="B37" s="175">
        <f>SUM(C17:F19)</f>
        <v>271.55802858857538</v>
      </c>
      <c r="C37" s="248"/>
      <c r="D37" s="248"/>
      <c r="E37" s="249"/>
      <c r="F37" s="250"/>
      <c r="G37" s="250"/>
      <c r="H37" s="175">
        <f t="shared" ref="H37:H41" si="5">SUM(B37:G37)</f>
        <v>271.55802858857538</v>
      </c>
    </row>
    <row r="38" spans="1:14" x14ac:dyDescent="0.35">
      <c r="A38" s="254" t="s">
        <v>5</v>
      </c>
      <c r="B38" s="174">
        <f>SUM(C20:F20)</f>
        <v>0</v>
      </c>
      <c r="C38" s="248"/>
      <c r="D38" s="248"/>
      <c r="E38" s="249"/>
      <c r="F38" s="248"/>
      <c r="G38" s="250"/>
      <c r="H38" s="175">
        <f t="shared" si="5"/>
        <v>0</v>
      </c>
    </row>
    <row r="39" spans="1:14" x14ac:dyDescent="0.35">
      <c r="A39" s="18" t="s">
        <v>50</v>
      </c>
      <c r="B39" s="175">
        <f>SUM(C21:F22)</f>
        <v>67.474167663575997</v>
      </c>
      <c r="C39" s="250"/>
      <c r="D39" s="250"/>
      <c r="E39" s="249"/>
      <c r="F39" s="250"/>
      <c r="G39" s="248"/>
      <c r="H39" s="175">
        <f t="shared" si="5"/>
        <v>67.474167663575997</v>
      </c>
    </row>
    <row r="40" spans="1:14" x14ac:dyDescent="0.35">
      <c r="A40" s="19" t="s">
        <v>51</v>
      </c>
      <c r="B40" s="175">
        <f>SUM(C23:F26)</f>
        <v>0</v>
      </c>
      <c r="C40" s="250"/>
      <c r="D40" s="250"/>
      <c r="E40" s="251"/>
      <c r="F40" s="248"/>
      <c r="G40" s="250"/>
      <c r="H40" s="175">
        <f t="shared" si="5"/>
        <v>0</v>
      </c>
    </row>
    <row r="41" spans="1:14" x14ac:dyDescent="0.35">
      <c r="A41" s="20" t="s">
        <v>52</v>
      </c>
      <c r="B41" s="174">
        <f>SUM(C27:F28)</f>
        <v>0.12016177978499901</v>
      </c>
      <c r="C41" s="250"/>
      <c r="D41" s="248"/>
      <c r="E41" s="249"/>
      <c r="F41" s="250"/>
      <c r="G41" s="248"/>
      <c r="H41" s="175">
        <f t="shared" si="5"/>
        <v>0.12016177978499901</v>
      </c>
    </row>
    <row r="42" spans="1:14" x14ac:dyDescent="0.35">
      <c r="A42" s="124" t="s">
        <v>92</v>
      </c>
      <c r="B42" s="174">
        <f>SUM(B36:B41)</f>
        <v>44228.501276233721</v>
      </c>
      <c r="C42" s="174">
        <f t="shared" ref="C42:H42" si="6">SUM(C36:C41)</f>
        <v>143.62064996334325</v>
      </c>
      <c r="D42" s="174">
        <f t="shared" si="6"/>
        <v>2.2168610839879901</v>
      </c>
      <c r="E42" s="174">
        <f t="shared" si="6"/>
        <v>20.939702172838398</v>
      </c>
      <c r="F42" s="174">
        <f t="shared" si="6"/>
        <v>155.54341403209824</v>
      </c>
      <c r="G42" s="174">
        <f t="shared" si="6"/>
        <v>0</v>
      </c>
      <c r="H42" s="187">
        <f t="shared" si="6"/>
        <v>44550.821903485987</v>
      </c>
      <c r="J42" s="39"/>
    </row>
    <row r="44" spans="1:14" x14ac:dyDescent="0.35">
      <c r="I44" t="s">
        <v>398</v>
      </c>
    </row>
    <row r="45" spans="1:14" x14ac:dyDescent="0.35">
      <c r="A45" s="2" t="s">
        <v>571</v>
      </c>
      <c r="I45" t="s">
        <v>437</v>
      </c>
      <c r="J45" s="39"/>
      <c r="M45" s="56"/>
    </row>
    <row r="46" spans="1:14" x14ac:dyDescent="0.35">
      <c r="A46" s="13" t="s">
        <v>262</v>
      </c>
      <c r="M46" s="56"/>
    </row>
    <row r="47" spans="1:14" x14ac:dyDescent="0.35">
      <c r="A47" s="2" t="s">
        <v>170</v>
      </c>
      <c r="C47" s="621" t="s">
        <v>258</v>
      </c>
      <c r="D47" s="621"/>
      <c r="E47" s="621"/>
      <c r="F47" s="621"/>
      <c r="G47" s="621"/>
      <c r="I47" s="474" t="s">
        <v>438</v>
      </c>
      <c r="J47" s="621" t="s">
        <v>260</v>
      </c>
      <c r="K47" s="621"/>
      <c r="L47" s="621"/>
      <c r="M47" s="621"/>
      <c r="N47" s="621"/>
    </row>
    <row r="48" spans="1:14" ht="15" thickBot="1" x14ac:dyDescent="0.4">
      <c r="B48" s="247">
        <f>Intro!B22</f>
        <v>2011</v>
      </c>
      <c r="C48" s="247" t="s">
        <v>141</v>
      </c>
      <c r="D48" s="247" t="s">
        <v>259</v>
      </c>
      <c r="E48" s="247" t="s">
        <v>261</v>
      </c>
      <c r="F48" s="247" t="s">
        <v>143</v>
      </c>
      <c r="G48" s="247" t="s">
        <v>77</v>
      </c>
      <c r="I48" s="475" t="s">
        <v>382</v>
      </c>
      <c r="J48" s="469" t="s">
        <v>141</v>
      </c>
      <c r="K48" s="469" t="s">
        <v>259</v>
      </c>
      <c r="L48" s="469" t="s">
        <v>261</v>
      </c>
      <c r="M48" s="469" t="s">
        <v>143</v>
      </c>
      <c r="N48" s="469" t="s">
        <v>77</v>
      </c>
    </row>
    <row r="49" spans="1:14" ht="15" thickTop="1" x14ac:dyDescent="0.35">
      <c r="A49" s="16" t="s">
        <v>4</v>
      </c>
      <c r="B49" s="28" t="s">
        <v>53</v>
      </c>
      <c r="C49" s="545">
        <f>C$53*V13</f>
        <v>0</v>
      </c>
      <c r="D49" s="546">
        <f>D$53*V13</f>
        <v>0</v>
      </c>
      <c r="E49" s="547">
        <f>E$53*V13</f>
        <v>0</v>
      </c>
      <c r="F49" s="548">
        <f>F$53*V13</f>
        <v>0</v>
      </c>
      <c r="G49" s="549">
        <f>SUM(C49:F49)</f>
        <v>0</v>
      </c>
      <c r="H49" s="80"/>
      <c r="I49" s="404">
        <f>SUM(G13:I13)-'4c. F to NF correction'!P29</f>
        <v>0</v>
      </c>
      <c r="J49" s="404">
        <f t="shared" ref="J49:L52" si="7">C49</f>
        <v>0</v>
      </c>
      <c r="K49" s="404">
        <f t="shared" si="7"/>
        <v>0</v>
      </c>
      <c r="L49" s="404">
        <f t="shared" si="7"/>
        <v>0</v>
      </c>
      <c r="M49" s="404">
        <f>F49-I49</f>
        <v>0</v>
      </c>
      <c r="N49" s="404">
        <f>SUM(J49:M49)</f>
        <v>0</v>
      </c>
    </row>
    <row r="50" spans="1:14" x14ac:dyDescent="0.35">
      <c r="A50" s="16"/>
      <c r="B50" s="28" t="s">
        <v>54</v>
      </c>
      <c r="C50" s="550">
        <f t="shared" ref="C50:C52" si="8">C$53*V14</f>
        <v>0</v>
      </c>
      <c r="D50" s="404">
        <f t="shared" ref="D50:D52" si="9">D$53*V14</f>
        <v>0</v>
      </c>
      <c r="E50" s="551">
        <f t="shared" ref="E50:E52" si="10">E$53*V14</f>
        <v>0</v>
      </c>
      <c r="F50" s="552">
        <f t="shared" ref="F50:F52" si="11">F$53*V14</f>
        <v>0</v>
      </c>
      <c r="G50" s="553">
        <f t="shared" ref="G50:G52" si="12">SUM(C50:F50)</f>
        <v>0</v>
      </c>
      <c r="H50" s="80"/>
      <c r="I50" s="404">
        <f>SUM(G14:I14)-'4c. F to NF correction'!P30</f>
        <v>0</v>
      </c>
      <c r="J50" s="404">
        <f t="shared" si="7"/>
        <v>0</v>
      </c>
      <c r="K50" s="404">
        <f t="shared" si="7"/>
        <v>0</v>
      </c>
      <c r="L50" s="404">
        <f t="shared" si="7"/>
        <v>0</v>
      </c>
      <c r="M50" s="404">
        <f t="shared" ref="M50:M52" si="13">F50-I50</f>
        <v>0</v>
      </c>
      <c r="N50" s="404">
        <f t="shared" ref="N50:N52" si="14">SUM(J50:M50)</f>
        <v>0</v>
      </c>
    </row>
    <row r="51" spans="1:14" x14ac:dyDescent="0.35">
      <c r="A51" s="16"/>
      <c r="B51" s="28" t="s">
        <v>55</v>
      </c>
      <c r="C51" s="550">
        <f t="shared" si="8"/>
        <v>0</v>
      </c>
      <c r="D51" s="404">
        <f t="shared" si="9"/>
        <v>0</v>
      </c>
      <c r="E51" s="551">
        <f t="shared" si="10"/>
        <v>0</v>
      </c>
      <c r="F51" s="552">
        <f t="shared" si="11"/>
        <v>0</v>
      </c>
      <c r="G51" s="553">
        <f t="shared" si="12"/>
        <v>0</v>
      </c>
      <c r="H51" s="80"/>
      <c r="I51" s="404">
        <f>SUM(G15:I15)-'4c. F to NF correction'!P31</f>
        <v>0</v>
      </c>
      <c r="J51" s="404">
        <f t="shared" si="7"/>
        <v>0</v>
      </c>
      <c r="K51" s="404">
        <f t="shared" si="7"/>
        <v>0</v>
      </c>
      <c r="L51" s="404">
        <f t="shared" si="7"/>
        <v>0</v>
      </c>
      <c r="M51" s="404">
        <f t="shared" si="13"/>
        <v>0</v>
      </c>
      <c r="N51" s="404">
        <f t="shared" si="14"/>
        <v>0</v>
      </c>
    </row>
    <row r="52" spans="1:14" ht="15" thickBot="1" x14ac:dyDescent="0.4">
      <c r="A52" s="16"/>
      <c r="B52" s="28" t="s">
        <v>56</v>
      </c>
      <c r="C52" s="554">
        <f t="shared" si="8"/>
        <v>0</v>
      </c>
      <c r="D52" s="555">
        <f t="shared" si="9"/>
        <v>0</v>
      </c>
      <c r="E52" s="556">
        <f t="shared" si="10"/>
        <v>0</v>
      </c>
      <c r="F52" s="557">
        <f t="shared" si="11"/>
        <v>0</v>
      </c>
      <c r="G52" s="558">
        <f t="shared" si="12"/>
        <v>0</v>
      </c>
      <c r="H52" s="80"/>
      <c r="I52" s="555">
        <f>SUM(G16:I16)-'4c. F to NF correction'!P32</f>
        <v>0</v>
      </c>
      <c r="J52" s="404">
        <f t="shared" si="7"/>
        <v>0</v>
      </c>
      <c r="K52" s="404">
        <f t="shared" si="7"/>
        <v>0</v>
      </c>
      <c r="L52" s="404">
        <f t="shared" si="7"/>
        <v>0</v>
      </c>
      <c r="M52" s="404">
        <f t="shared" si="13"/>
        <v>0</v>
      </c>
      <c r="N52" s="404">
        <f t="shared" si="14"/>
        <v>0</v>
      </c>
    </row>
    <row r="53" spans="1:14" ht="15.5" thickTop="1" thickBot="1" x14ac:dyDescent="0.4">
      <c r="B53" s="369" t="s">
        <v>77</v>
      </c>
      <c r="C53" s="559">
        <v>0</v>
      </c>
      <c r="D53" s="560">
        <v>0</v>
      </c>
      <c r="E53" s="560">
        <v>0</v>
      </c>
      <c r="F53" s="561">
        <v>0</v>
      </c>
      <c r="G53" s="562">
        <f>SUM(G49:G52)</f>
        <v>0</v>
      </c>
      <c r="H53" s="80"/>
      <c r="I53" s="563">
        <f t="shared" ref="I53:N53" si="15">SUM(I49:I52)</f>
        <v>0</v>
      </c>
      <c r="J53" s="562">
        <f t="shared" si="15"/>
        <v>0</v>
      </c>
      <c r="K53" s="562">
        <f t="shared" si="15"/>
        <v>0</v>
      </c>
      <c r="L53" s="562">
        <f t="shared" si="15"/>
        <v>0</v>
      </c>
      <c r="M53" s="562">
        <f t="shared" si="15"/>
        <v>0</v>
      </c>
      <c r="N53" s="562">
        <f t="shared" si="15"/>
        <v>0</v>
      </c>
    </row>
    <row r="54" spans="1:14" ht="15" thickTop="1" x14ac:dyDescent="0.35"/>
    <row r="55" spans="1:14" x14ac:dyDescent="0.35">
      <c r="H55" s="140"/>
      <c r="I55" s="13"/>
    </row>
  </sheetData>
  <mergeCells count="4">
    <mergeCell ref="C47:G47"/>
    <mergeCell ref="A5:G5"/>
    <mergeCell ref="A6:G6"/>
    <mergeCell ref="J47:N4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9563C-8D35-4C98-BAD3-F42A816BE588}">
  <dimension ref="A1:V126"/>
  <sheetViews>
    <sheetView tabSelected="1" topLeftCell="A89" zoomScale="85" zoomScaleNormal="85" workbookViewId="0">
      <selection activeCell="O106" sqref="O106"/>
    </sheetView>
  </sheetViews>
  <sheetFormatPr defaultRowHeight="14.5" x14ac:dyDescent="0.35"/>
  <cols>
    <col min="1" max="1" width="20.453125" customWidth="1"/>
    <col min="2" max="2" width="15.81640625" customWidth="1"/>
    <col min="3" max="18" width="10.54296875" customWidth="1"/>
    <col min="19" max="19" width="10.54296875" style="268" customWidth="1"/>
  </cols>
  <sheetData>
    <row r="1" spans="1:20" ht="18.5" x14ac:dyDescent="0.45">
      <c r="A1" s="1" t="s">
        <v>248</v>
      </c>
    </row>
    <row r="2" spans="1:20" x14ac:dyDescent="0.35">
      <c r="A2" s="275" t="s">
        <v>250</v>
      </c>
    </row>
    <row r="3" spans="1:20" x14ac:dyDescent="0.35">
      <c r="A3" s="275"/>
    </row>
    <row r="4" spans="1:20" x14ac:dyDescent="0.35">
      <c r="A4" s="185" t="s">
        <v>397</v>
      </c>
    </row>
    <row r="5" spans="1:20" x14ac:dyDescent="0.35">
      <c r="A5" s="623" t="s">
        <v>439</v>
      </c>
      <c r="B5" s="623"/>
      <c r="C5" s="623"/>
      <c r="D5" s="623"/>
      <c r="E5" s="623"/>
      <c r="F5" s="623"/>
      <c r="G5" s="623"/>
    </row>
    <row r="6" spans="1:20" x14ac:dyDescent="0.35">
      <c r="A6" s="623" t="s">
        <v>440</v>
      </c>
      <c r="B6" s="623"/>
      <c r="C6" s="623"/>
      <c r="D6" s="623"/>
      <c r="E6" s="623"/>
      <c r="F6" s="623"/>
      <c r="G6" s="623"/>
    </row>
    <row r="7" spans="1:20" ht="28" customHeight="1" x14ac:dyDescent="0.35">
      <c r="A7" s="623" t="s">
        <v>441</v>
      </c>
      <c r="B7" s="623"/>
      <c r="C7" s="623"/>
      <c r="D7" s="623"/>
      <c r="E7" s="623"/>
      <c r="F7" s="623"/>
      <c r="G7" s="623"/>
    </row>
    <row r="8" spans="1:20" x14ac:dyDescent="0.35">
      <c r="A8" s="275"/>
    </row>
    <row r="10" spans="1:20" x14ac:dyDescent="0.35">
      <c r="A10" s="2" t="s">
        <v>49</v>
      </c>
    </row>
    <row r="11" spans="1:20" x14ac:dyDescent="0.35">
      <c r="A11" s="2"/>
    </row>
    <row r="12" spans="1:20" x14ac:dyDescent="0.35">
      <c r="A12" s="2" t="s">
        <v>442</v>
      </c>
    </row>
    <row r="13" spans="1:20" x14ac:dyDescent="0.35">
      <c r="A13" s="268" t="s">
        <v>367</v>
      </c>
    </row>
    <row r="14" spans="1:20" x14ac:dyDescent="0.35">
      <c r="A14" s="11"/>
    </row>
    <row r="15" spans="1:20" x14ac:dyDescent="0.35">
      <c r="A15" s="11"/>
      <c r="B15" s="15">
        <f>Intro!B23</f>
        <v>2016</v>
      </c>
      <c r="C15" s="16" t="s">
        <v>4</v>
      </c>
      <c r="D15" s="16"/>
      <c r="E15" s="16"/>
      <c r="F15" s="16"/>
      <c r="G15" s="252" t="s">
        <v>6</v>
      </c>
      <c r="H15" s="252"/>
      <c r="I15" s="252"/>
      <c r="J15" s="257" t="s">
        <v>5</v>
      </c>
      <c r="K15" s="18" t="s">
        <v>50</v>
      </c>
      <c r="L15" s="18"/>
      <c r="M15" s="19" t="s">
        <v>51</v>
      </c>
      <c r="N15" s="19"/>
      <c r="O15" s="19"/>
      <c r="P15" s="19"/>
      <c r="Q15" s="20" t="s">
        <v>52</v>
      </c>
      <c r="R15" s="20"/>
      <c r="S15" s="281" t="s">
        <v>92</v>
      </c>
      <c r="T15" s="212"/>
    </row>
    <row r="16" spans="1:20" ht="31.5" x14ac:dyDescent="0.35">
      <c r="A16" s="22">
        <f>Intro!B22</f>
        <v>2011</v>
      </c>
      <c r="B16" s="21"/>
      <c r="C16" s="23" t="s">
        <v>53</v>
      </c>
      <c r="D16" s="23" t="s">
        <v>54</v>
      </c>
      <c r="E16" s="23" t="s">
        <v>55</v>
      </c>
      <c r="F16" s="23" t="s">
        <v>56</v>
      </c>
      <c r="G16" s="256" t="s">
        <v>57</v>
      </c>
      <c r="H16" s="256" t="s">
        <v>58</v>
      </c>
      <c r="I16" s="256" t="s">
        <v>59</v>
      </c>
      <c r="J16" s="258" t="s">
        <v>117</v>
      </c>
      <c r="K16" s="25" t="s">
        <v>60</v>
      </c>
      <c r="L16" s="33" t="s">
        <v>61</v>
      </c>
      <c r="M16" s="26" t="s">
        <v>62</v>
      </c>
      <c r="N16" s="26" t="s">
        <v>63</v>
      </c>
      <c r="O16" s="26" t="s">
        <v>64</v>
      </c>
      <c r="P16" s="26" t="s">
        <v>65</v>
      </c>
      <c r="Q16" s="27" t="s">
        <v>66</v>
      </c>
      <c r="R16" s="27" t="s">
        <v>67</v>
      </c>
      <c r="S16" s="281">
        <f>Intro!B23</f>
        <v>2016</v>
      </c>
      <c r="T16" s="212"/>
    </row>
    <row r="17" spans="1:22" x14ac:dyDescent="0.35">
      <c r="A17" s="16" t="s">
        <v>4</v>
      </c>
      <c r="B17" s="28" t="s">
        <v>53</v>
      </c>
      <c r="C17" s="276"/>
      <c r="D17" s="277"/>
      <c r="E17" s="277"/>
      <c r="F17" s="276"/>
      <c r="G17" s="277"/>
      <c r="H17" s="276"/>
      <c r="I17" s="276"/>
      <c r="J17" s="276"/>
      <c r="K17" s="277"/>
      <c r="L17" s="276"/>
      <c r="M17" s="276"/>
      <c r="N17" s="276"/>
      <c r="O17" s="276"/>
      <c r="P17" s="276"/>
      <c r="Q17" s="277"/>
      <c r="R17" s="279"/>
      <c r="S17" s="285"/>
      <c r="T17" s="213"/>
    </row>
    <row r="18" spans="1:22" x14ac:dyDescent="0.35">
      <c r="A18" s="16"/>
      <c r="B18" s="28" t="s">
        <v>54</v>
      </c>
      <c r="C18" s="277"/>
      <c r="D18" s="276"/>
      <c r="E18" s="277"/>
      <c r="F18" s="277"/>
      <c r="G18" s="277"/>
      <c r="H18" s="276"/>
      <c r="I18" s="276"/>
      <c r="J18" s="276"/>
      <c r="K18" s="277"/>
      <c r="L18" s="277"/>
      <c r="M18" s="277"/>
      <c r="N18" s="277"/>
      <c r="O18" s="276"/>
      <c r="P18" s="276"/>
      <c r="Q18" s="277"/>
      <c r="R18" s="279"/>
      <c r="S18" s="285"/>
      <c r="T18" s="213"/>
    </row>
    <row r="19" spans="1:22" x14ac:dyDescent="0.35">
      <c r="A19" s="16"/>
      <c r="B19" s="28" t="s">
        <v>55</v>
      </c>
      <c r="C19" s="277"/>
      <c r="D19" s="277"/>
      <c r="E19" s="276"/>
      <c r="F19" s="277"/>
      <c r="G19" s="277"/>
      <c r="H19" s="276"/>
      <c r="I19" s="276"/>
      <c r="J19" s="276"/>
      <c r="K19" s="277"/>
      <c r="L19" s="277"/>
      <c r="M19" s="277"/>
      <c r="N19" s="276"/>
      <c r="O19" s="276"/>
      <c r="P19" s="276"/>
      <c r="Q19" s="277"/>
      <c r="R19" s="279"/>
      <c r="S19" s="285"/>
      <c r="T19" s="213"/>
    </row>
    <row r="20" spans="1:22" x14ac:dyDescent="0.35">
      <c r="A20" s="16"/>
      <c r="B20" s="28" t="s">
        <v>56</v>
      </c>
      <c r="C20" s="277"/>
      <c r="D20" s="277"/>
      <c r="E20" s="277"/>
      <c r="F20" s="276"/>
      <c r="G20" s="276"/>
      <c r="H20" s="276"/>
      <c r="I20" s="277"/>
      <c r="J20" s="277"/>
      <c r="K20" s="276"/>
      <c r="L20" s="276"/>
      <c r="M20" s="277"/>
      <c r="N20" s="276"/>
      <c r="O20" s="276"/>
      <c r="P20" s="276"/>
      <c r="Q20" s="276"/>
      <c r="R20" s="279"/>
      <c r="S20" s="285"/>
      <c r="T20" s="213"/>
      <c r="U20" s="437"/>
    </row>
    <row r="21" spans="1:22" x14ac:dyDescent="0.35">
      <c r="A21" s="252" t="s">
        <v>6</v>
      </c>
      <c r="B21" s="253" t="s">
        <v>57</v>
      </c>
      <c r="C21" s="277"/>
      <c r="D21" s="277"/>
      <c r="E21" s="277"/>
      <c r="F21" s="276"/>
      <c r="G21" s="282">
        <v>20705.128562431815</v>
      </c>
      <c r="H21" s="282">
        <v>17.564291015582601</v>
      </c>
      <c r="I21" s="282">
        <v>14.5695816162116</v>
      </c>
      <c r="J21" s="282">
        <v>267.50969961536697</v>
      </c>
      <c r="K21" s="282">
        <v>0.47997814941400002</v>
      </c>
      <c r="L21" s="282"/>
      <c r="M21" s="282">
        <v>20.7553754638366</v>
      </c>
      <c r="N21" s="282">
        <v>57.928175457753902</v>
      </c>
      <c r="O21" s="282">
        <v>88.521015661635289</v>
      </c>
      <c r="P21" s="282">
        <v>52.892538928240299</v>
      </c>
      <c r="Q21" s="282">
        <v>5.8191238830599996</v>
      </c>
      <c r="R21" s="282"/>
      <c r="S21" s="405">
        <f t="shared" ref="S21:S32" si="0">SUM(C21:R21)</f>
        <v>21231.168342222914</v>
      </c>
      <c r="U21" s="188"/>
    </row>
    <row r="22" spans="1:22" x14ac:dyDescent="0.35">
      <c r="A22" s="252"/>
      <c r="B22" s="253" t="s">
        <v>58</v>
      </c>
      <c r="C22" s="276"/>
      <c r="D22" s="277"/>
      <c r="E22" s="276"/>
      <c r="F22" s="276"/>
      <c r="G22" s="282">
        <v>5.581183367915</v>
      </c>
      <c r="H22" s="282">
        <v>226.0231270021483</v>
      </c>
      <c r="I22" s="282">
        <v>8.9409083557130007</v>
      </c>
      <c r="J22" s="282">
        <v>1.1992725036657002</v>
      </c>
      <c r="K22" s="282">
        <v>0.77962039794899995</v>
      </c>
      <c r="L22" s="282">
        <v>0</v>
      </c>
      <c r="M22" s="282">
        <v>3.0007722656219986</v>
      </c>
      <c r="N22" s="282">
        <v>34.018314221209891</v>
      </c>
      <c r="O22" s="282">
        <v>15.113139575191589</v>
      </c>
      <c r="P22" s="282">
        <v>9.3019008239789986</v>
      </c>
      <c r="Q22" s="282"/>
      <c r="R22" s="282"/>
      <c r="S22" s="405">
        <f t="shared" si="0"/>
        <v>303.9582385133935</v>
      </c>
      <c r="U22" s="140"/>
      <c r="V22" s="436"/>
    </row>
    <row r="23" spans="1:22" x14ac:dyDescent="0.35">
      <c r="A23" s="252"/>
      <c r="B23" s="253" t="s">
        <v>59</v>
      </c>
      <c r="C23" s="276"/>
      <c r="D23" s="277"/>
      <c r="E23" s="277"/>
      <c r="F23" s="276"/>
      <c r="G23" s="282">
        <v>30.8202917908005</v>
      </c>
      <c r="H23" s="282">
        <v>50.026268316604096</v>
      </c>
      <c r="I23" s="282">
        <v>435.49454043577521</v>
      </c>
      <c r="J23" s="282">
        <v>5.4544847656290001</v>
      </c>
      <c r="K23" s="282">
        <v>0</v>
      </c>
      <c r="L23" s="282"/>
      <c r="M23" s="282">
        <v>0.71976330566400004</v>
      </c>
      <c r="N23" s="282">
        <v>0.239673858643</v>
      </c>
      <c r="O23" s="282">
        <v>0.300328717041</v>
      </c>
      <c r="P23" s="282">
        <v>1.13951223755</v>
      </c>
      <c r="Q23" s="282"/>
      <c r="R23" s="282"/>
      <c r="S23" s="405">
        <f t="shared" si="0"/>
        <v>524.19486342770665</v>
      </c>
    </row>
    <row r="24" spans="1:22" x14ac:dyDescent="0.35">
      <c r="A24" s="254" t="s">
        <v>5</v>
      </c>
      <c r="B24" s="255" t="s">
        <v>117</v>
      </c>
      <c r="C24" s="276"/>
      <c r="D24" s="277"/>
      <c r="E24" s="277"/>
      <c r="F24" s="276"/>
      <c r="G24" s="282">
        <v>20.6719603638</v>
      </c>
      <c r="H24" s="282"/>
      <c r="I24" s="282"/>
      <c r="J24" s="282">
        <v>10477.480868917819</v>
      </c>
      <c r="K24" s="282"/>
      <c r="L24" s="282">
        <v>0.36014195556599998</v>
      </c>
      <c r="M24" s="282">
        <v>7.0700338684055</v>
      </c>
      <c r="N24" s="282">
        <v>61.297039422623996</v>
      </c>
      <c r="O24" s="282">
        <v>45.242867376745302</v>
      </c>
      <c r="P24" s="282">
        <v>16.898355548068999</v>
      </c>
      <c r="Q24" s="282">
        <v>5.9925549316399998E-2</v>
      </c>
      <c r="R24" s="282"/>
      <c r="S24" s="405">
        <f t="shared" si="0"/>
        <v>10629.081193002341</v>
      </c>
    </row>
    <row r="25" spans="1:22" x14ac:dyDescent="0.35">
      <c r="A25" s="18" t="s">
        <v>50</v>
      </c>
      <c r="B25" s="33" t="s">
        <v>60</v>
      </c>
      <c r="C25" s="277"/>
      <c r="D25" s="277"/>
      <c r="E25" s="277"/>
      <c r="F25" s="276"/>
      <c r="G25" s="282">
        <v>0.299905438232</v>
      </c>
      <c r="H25" s="282">
        <v>2.7590325195309999</v>
      </c>
      <c r="I25" s="282">
        <v>0.17999440307600001</v>
      </c>
      <c r="J25" s="282">
        <v>0.11998847656299901</v>
      </c>
      <c r="K25" s="282">
        <v>2865.1914895301093</v>
      </c>
      <c r="L25" s="282">
        <v>24.564459344500001</v>
      </c>
      <c r="M25" s="282"/>
      <c r="N25" s="282">
        <v>0.1200567626953</v>
      </c>
      <c r="O25" s="282">
        <v>0.18003394165</v>
      </c>
      <c r="P25" s="282"/>
      <c r="Q25" s="282">
        <v>1.9183074585</v>
      </c>
      <c r="R25" s="282"/>
      <c r="S25" s="405">
        <f t="shared" si="0"/>
        <v>2895.3332678748561</v>
      </c>
    </row>
    <row r="26" spans="1:22" ht="21" x14ac:dyDescent="0.35">
      <c r="A26" s="18"/>
      <c r="B26" s="33" t="s">
        <v>61</v>
      </c>
      <c r="C26" s="277"/>
      <c r="D26" s="277"/>
      <c r="E26" s="277"/>
      <c r="F26" s="276"/>
      <c r="G26" s="282"/>
      <c r="H26" s="282">
        <v>0.23999805297900001</v>
      </c>
      <c r="I26" s="282"/>
      <c r="J26" s="282">
        <v>0</v>
      </c>
      <c r="K26" s="282">
        <v>3.2410993225053999</v>
      </c>
      <c r="L26" s="282">
        <v>77.687592059300997</v>
      </c>
      <c r="M26" s="282">
        <v>0.18007163085899999</v>
      </c>
      <c r="N26" s="282">
        <v>0.84041490478499892</v>
      </c>
      <c r="O26" s="282">
        <v>0.60008391723559895</v>
      </c>
      <c r="P26" s="282">
        <v>0.119825061035</v>
      </c>
      <c r="Q26" s="282"/>
      <c r="R26" s="282"/>
      <c r="S26" s="405">
        <f t="shared" si="0"/>
        <v>82.909084948699984</v>
      </c>
    </row>
    <row r="27" spans="1:22" x14ac:dyDescent="0.35">
      <c r="A27" s="19" t="s">
        <v>51</v>
      </c>
      <c r="B27" s="34" t="s">
        <v>62</v>
      </c>
      <c r="C27" s="277"/>
      <c r="D27" s="277"/>
      <c r="E27" s="277"/>
      <c r="F27" s="277"/>
      <c r="G27" s="282"/>
      <c r="H27" s="282"/>
      <c r="I27" s="282"/>
      <c r="J27" s="282"/>
      <c r="K27" s="282"/>
      <c r="L27" s="282"/>
      <c r="M27" s="282">
        <v>1890.0486509812104</v>
      </c>
      <c r="N27" s="282"/>
      <c r="O27" s="282"/>
      <c r="P27" s="282"/>
      <c r="Q27" s="282"/>
      <c r="R27" s="282"/>
      <c r="S27" s="405">
        <f t="shared" si="0"/>
        <v>1890.0486509812104</v>
      </c>
    </row>
    <row r="28" spans="1:22" x14ac:dyDescent="0.35">
      <c r="A28" s="19"/>
      <c r="B28" s="34" t="s">
        <v>63</v>
      </c>
      <c r="C28" s="277"/>
      <c r="D28" s="277"/>
      <c r="E28" s="277"/>
      <c r="F28" s="277"/>
      <c r="G28" s="282"/>
      <c r="H28" s="282"/>
      <c r="I28" s="282"/>
      <c r="J28" s="282"/>
      <c r="K28" s="282"/>
      <c r="L28" s="282"/>
      <c r="M28" s="282"/>
      <c r="N28" s="282">
        <v>6132.2545246247855</v>
      </c>
      <c r="O28" s="282"/>
      <c r="P28" s="282"/>
      <c r="Q28" s="282"/>
      <c r="R28" s="282"/>
      <c r="S28" s="405">
        <f t="shared" si="0"/>
        <v>6132.2545246247855</v>
      </c>
    </row>
    <row r="29" spans="1:22" x14ac:dyDescent="0.35">
      <c r="A29" s="19"/>
      <c r="B29" s="34" t="s">
        <v>64</v>
      </c>
      <c r="C29" s="277"/>
      <c r="D29" s="277"/>
      <c r="E29" s="277"/>
      <c r="F29" s="277"/>
      <c r="G29" s="282"/>
      <c r="H29" s="282"/>
      <c r="I29" s="282"/>
      <c r="J29" s="282"/>
      <c r="K29" s="282"/>
      <c r="L29" s="282"/>
      <c r="M29" s="282"/>
      <c r="N29" s="282"/>
      <c r="O29" s="282">
        <v>15489.022806389677</v>
      </c>
      <c r="P29" s="282"/>
      <c r="Q29" s="282"/>
      <c r="R29" s="282"/>
      <c r="S29" s="405">
        <f t="shared" si="0"/>
        <v>15489.022806389677</v>
      </c>
    </row>
    <row r="30" spans="1:22" x14ac:dyDescent="0.35">
      <c r="A30" s="19"/>
      <c r="B30" s="34" t="s">
        <v>65</v>
      </c>
      <c r="C30" s="277"/>
      <c r="D30" s="277"/>
      <c r="E30" s="277"/>
      <c r="F30" s="277"/>
      <c r="G30" s="282"/>
      <c r="H30" s="282"/>
      <c r="I30" s="282"/>
      <c r="J30" s="282"/>
      <c r="K30" s="282"/>
      <c r="L30" s="282"/>
      <c r="M30" s="282">
        <v>21.968385644567999</v>
      </c>
      <c r="N30" s="282">
        <v>137.3585822082465</v>
      </c>
      <c r="O30" s="282">
        <v>65.498799999952894</v>
      </c>
      <c r="P30" s="282">
        <v>27096.107391656806</v>
      </c>
      <c r="Q30" s="282"/>
      <c r="R30" s="282"/>
      <c r="S30" s="405">
        <f t="shared" si="0"/>
        <v>27320.933159509572</v>
      </c>
    </row>
    <row r="31" spans="1:22" x14ac:dyDescent="0.35">
      <c r="A31" s="20" t="s">
        <v>52</v>
      </c>
      <c r="B31" s="35" t="s">
        <v>66</v>
      </c>
      <c r="C31" s="276"/>
      <c r="D31" s="277"/>
      <c r="E31" s="277"/>
      <c r="F31" s="276"/>
      <c r="G31" s="282"/>
      <c r="H31" s="282"/>
      <c r="I31" s="282"/>
      <c r="J31" s="282"/>
      <c r="K31" s="282">
        <v>3.30249425659109</v>
      </c>
      <c r="L31" s="282"/>
      <c r="M31" s="282">
        <v>0.240132775879</v>
      </c>
      <c r="N31" s="282">
        <v>1.2006604125979998</v>
      </c>
      <c r="O31" s="282">
        <v>0.96060322265599996</v>
      </c>
      <c r="P31" s="282">
        <v>1.200393212891099</v>
      </c>
      <c r="Q31" s="282">
        <v>209.53991985503899</v>
      </c>
      <c r="R31" s="282"/>
      <c r="S31" s="405">
        <f t="shared" si="0"/>
        <v>216.44420373565418</v>
      </c>
      <c r="T31" s="118" t="s">
        <v>77</v>
      </c>
    </row>
    <row r="32" spans="1:22" x14ac:dyDescent="0.35">
      <c r="A32" s="20"/>
      <c r="B32" s="35" t="s">
        <v>68</v>
      </c>
      <c r="C32" s="278"/>
      <c r="D32" s="278"/>
      <c r="E32" s="278"/>
      <c r="F32" s="278"/>
      <c r="G32" s="282"/>
      <c r="H32" s="282"/>
      <c r="I32" s="282"/>
      <c r="J32" s="282"/>
      <c r="K32" s="282"/>
      <c r="L32" s="282"/>
      <c r="M32" s="282"/>
      <c r="N32" s="282"/>
      <c r="O32" s="282"/>
      <c r="P32" s="282"/>
      <c r="Q32" s="282"/>
      <c r="R32" s="282"/>
      <c r="S32" s="405">
        <f t="shared" si="0"/>
        <v>0</v>
      </c>
      <c r="T32" s="119">
        <f>Intro!B22</f>
        <v>2011</v>
      </c>
    </row>
    <row r="33" spans="1:20" x14ac:dyDescent="0.35">
      <c r="A33" s="124" t="s">
        <v>92</v>
      </c>
      <c r="B33" s="124">
        <f>Intro!B23</f>
        <v>2016</v>
      </c>
      <c r="C33" s="274"/>
      <c r="D33" s="274"/>
      <c r="E33" s="274"/>
      <c r="F33" s="274"/>
      <c r="G33" s="405">
        <f t="shared" ref="G33:R33" si="1">SUM(G17:G32)</f>
        <v>20762.501903392564</v>
      </c>
      <c r="H33" s="405">
        <f t="shared" si="1"/>
        <v>296.61271690684498</v>
      </c>
      <c r="I33" s="405">
        <f t="shared" si="1"/>
        <v>459.18502481077581</v>
      </c>
      <c r="J33" s="405">
        <f t="shared" si="1"/>
        <v>10751.764314279044</v>
      </c>
      <c r="K33" s="405">
        <f t="shared" si="1"/>
        <v>2872.9946816565689</v>
      </c>
      <c r="L33" s="405">
        <f t="shared" si="1"/>
        <v>102.612193359367</v>
      </c>
      <c r="M33" s="405">
        <f t="shared" si="1"/>
        <v>1943.9831859360443</v>
      </c>
      <c r="N33" s="405">
        <f t="shared" si="1"/>
        <v>6425.257441873342</v>
      </c>
      <c r="O33" s="405">
        <f t="shared" si="1"/>
        <v>15705.439678801786</v>
      </c>
      <c r="P33" s="405">
        <f t="shared" si="1"/>
        <v>27177.659917468569</v>
      </c>
      <c r="Q33" s="405">
        <f t="shared" si="1"/>
        <v>217.33727674591537</v>
      </c>
      <c r="R33" s="280">
        <f t="shared" si="1"/>
        <v>0</v>
      </c>
      <c r="S33" s="116"/>
      <c r="T33" s="189">
        <f>SUM(C33:R33)</f>
        <v>86715.348335230825</v>
      </c>
    </row>
    <row r="34" spans="1:20" x14ac:dyDescent="0.35">
      <c r="A34" s="214"/>
      <c r="B34" s="214"/>
      <c r="C34" s="215"/>
      <c r="D34" s="215"/>
      <c r="E34" s="215"/>
      <c r="F34" s="215"/>
      <c r="G34" s="80"/>
      <c r="H34" s="80"/>
      <c r="I34" s="80"/>
      <c r="J34" s="80"/>
      <c r="K34" s="80"/>
      <c r="L34" s="80"/>
      <c r="M34" s="80"/>
      <c r="N34" s="80"/>
      <c r="O34" s="80"/>
      <c r="P34" s="80"/>
      <c r="Q34" s="117" t="s">
        <v>77</v>
      </c>
      <c r="R34" s="119">
        <f>Intro!B23</f>
        <v>2016</v>
      </c>
      <c r="S34" s="189">
        <f>SUM(S17:S32)</f>
        <v>86715.34833523081</v>
      </c>
    </row>
    <row r="36" spans="1:20" x14ac:dyDescent="0.35">
      <c r="A36" s="2" t="s">
        <v>443</v>
      </c>
    </row>
    <row r="37" spans="1:20" x14ac:dyDescent="0.35">
      <c r="A37" s="268" t="s">
        <v>367</v>
      </c>
    </row>
    <row r="38" spans="1:20" x14ac:dyDescent="0.35">
      <c r="A38" s="288"/>
    </row>
    <row r="39" spans="1:20" x14ac:dyDescent="0.35">
      <c r="B39">
        <f>Intro!B23</f>
        <v>2016</v>
      </c>
    </row>
    <row r="40" spans="1:20" x14ac:dyDescent="0.35">
      <c r="A40" s="180">
        <f>Intro!B22</f>
        <v>2011</v>
      </c>
      <c r="B40" s="16" t="s">
        <v>4</v>
      </c>
      <c r="C40" s="252" t="s">
        <v>6</v>
      </c>
      <c r="D40" s="257" t="s">
        <v>5</v>
      </c>
      <c r="E40" s="18" t="s">
        <v>50</v>
      </c>
      <c r="F40" s="19" t="s">
        <v>51</v>
      </c>
      <c r="G40" s="20" t="s">
        <v>52</v>
      </c>
      <c r="H40" s="311" t="s">
        <v>92</v>
      </c>
    </row>
    <row r="41" spans="1:20" x14ac:dyDescent="0.35">
      <c r="A41" s="16" t="s">
        <v>4</v>
      </c>
      <c r="B41" s="276"/>
      <c r="C41" s="291"/>
      <c r="D41" s="291"/>
      <c r="E41" s="291"/>
      <c r="F41" s="278"/>
      <c r="G41" s="290"/>
      <c r="H41" s="285"/>
    </row>
    <row r="42" spans="1:20" x14ac:dyDescent="0.35">
      <c r="A42" s="252" t="s">
        <v>6</v>
      </c>
      <c r="B42" s="279"/>
      <c r="C42" s="294">
        <f>SUM(G21:I23)</f>
        <v>21494.148754332567</v>
      </c>
      <c r="D42" s="294">
        <f>SUM(J21:J23)</f>
        <v>274.16345688466168</v>
      </c>
      <c r="E42" s="294">
        <f>SUM(K21:L23)</f>
        <v>1.259598547363</v>
      </c>
      <c r="F42" s="295">
        <f>SUM(M21:P23)</f>
        <v>283.93051051636655</v>
      </c>
      <c r="G42" s="298">
        <f>SUM(Q21:R23)</f>
        <v>5.8191238830599996</v>
      </c>
      <c r="H42" s="176">
        <f t="shared" ref="H42:H46" si="2">SUM(B42:G42)</f>
        <v>22059.321444164016</v>
      </c>
    </row>
    <row r="43" spans="1:20" x14ac:dyDescent="0.35">
      <c r="A43" s="254" t="s">
        <v>5</v>
      </c>
      <c r="B43" s="279"/>
      <c r="C43" s="294">
        <f>SUM(G24:I24)</f>
        <v>20.6719603638</v>
      </c>
      <c r="D43" s="294">
        <f>J24</f>
        <v>10477.480868917819</v>
      </c>
      <c r="E43" s="294">
        <f>SUM(K24:L24)</f>
        <v>0.36014195556599998</v>
      </c>
      <c r="F43" s="294">
        <f>SUM(M24:P24)</f>
        <v>130.50829621584379</v>
      </c>
      <c r="G43" s="298">
        <f>SUM(Q24:R24)</f>
        <v>5.9925549316399998E-2</v>
      </c>
      <c r="H43" s="176">
        <f t="shared" si="2"/>
        <v>10629.081193002343</v>
      </c>
    </row>
    <row r="44" spans="1:20" x14ac:dyDescent="0.35">
      <c r="A44" s="18" t="s">
        <v>50</v>
      </c>
      <c r="B44" s="279"/>
      <c r="C44" s="295">
        <f>SUM(G25:I26)</f>
        <v>3.4789304138179995</v>
      </c>
      <c r="D44" s="295">
        <f>SUM(J25:J26)</f>
        <v>0.11998847656299901</v>
      </c>
      <c r="E44" s="294">
        <f>SUM(K25:L26)</f>
        <v>2970.6846402564156</v>
      </c>
      <c r="F44" s="295">
        <f>SUM(M25:P26)</f>
        <v>2.0404862182598977</v>
      </c>
      <c r="G44" s="299">
        <f>SUM(Q25:R26)</f>
        <v>1.9183074585</v>
      </c>
      <c r="H44" s="176">
        <f t="shared" si="2"/>
        <v>2978.2423528235563</v>
      </c>
      <c r="M44" s="293"/>
    </row>
    <row r="45" spans="1:20" x14ac:dyDescent="0.35">
      <c r="A45" s="19" t="s">
        <v>51</v>
      </c>
      <c r="B45" s="289"/>
      <c r="C45" s="295">
        <f>SUM(G27:I30)</f>
        <v>0</v>
      </c>
      <c r="D45" s="295">
        <f>SUM(J27:J30)</f>
        <v>0</v>
      </c>
      <c r="E45" s="295">
        <f>SUM(K27:L30)</f>
        <v>0</v>
      </c>
      <c r="F45" s="294">
        <f>SUM(M27:P30)</f>
        <v>50832.259141505245</v>
      </c>
      <c r="G45" s="298">
        <f>SUM(Q27:R30)</f>
        <v>0</v>
      </c>
      <c r="H45" s="176">
        <f t="shared" si="2"/>
        <v>50832.259141505245</v>
      </c>
    </row>
    <row r="46" spans="1:20" x14ac:dyDescent="0.35">
      <c r="A46" s="20" t="s">
        <v>52</v>
      </c>
      <c r="B46" s="290"/>
      <c r="C46" s="296">
        <f>SUM(G31:I32)</f>
        <v>0</v>
      </c>
      <c r="D46" s="297">
        <f>SUM(J31:J32)</f>
        <v>0</v>
      </c>
      <c r="E46" s="297">
        <f>SUM(K31:L32)</f>
        <v>3.30249425659109</v>
      </c>
      <c r="F46" s="296">
        <f>SUM(M31:P32)</f>
        <v>3.6017896240240987</v>
      </c>
      <c r="G46" s="292">
        <f>SUM(Q31:R32)</f>
        <v>209.53991985503899</v>
      </c>
      <c r="H46" s="176">
        <f t="shared" si="2"/>
        <v>216.44420373565418</v>
      </c>
    </row>
    <row r="47" spans="1:20" x14ac:dyDescent="0.35">
      <c r="A47" s="124" t="s">
        <v>92</v>
      </c>
      <c r="B47" s="274"/>
      <c r="C47" s="174">
        <f t="shared" ref="C47:H47" si="3">SUM(C41:C46)</f>
        <v>21518.299645110186</v>
      </c>
      <c r="D47" s="174">
        <f t="shared" si="3"/>
        <v>10751.764314279044</v>
      </c>
      <c r="E47" s="174">
        <f t="shared" si="3"/>
        <v>2975.6068750159357</v>
      </c>
      <c r="F47" s="174">
        <f t="shared" si="3"/>
        <v>51252.340224079737</v>
      </c>
      <c r="G47" s="174">
        <f t="shared" si="3"/>
        <v>217.33727674591537</v>
      </c>
      <c r="H47" s="216">
        <f t="shared" si="3"/>
        <v>86715.34833523081</v>
      </c>
      <c r="J47" s="39"/>
    </row>
    <row r="48" spans="1:20" x14ac:dyDescent="0.35">
      <c r="H48" s="140"/>
      <c r="I48" s="13"/>
    </row>
    <row r="49" spans="1:22" x14ac:dyDescent="0.35">
      <c r="H49" s="140"/>
      <c r="I49" s="13"/>
    </row>
    <row r="50" spans="1:22" x14ac:dyDescent="0.35">
      <c r="A50" s="2" t="s">
        <v>444</v>
      </c>
      <c r="H50" s="39"/>
      <c r="I50" s="39"/>
    </row>
    <row r="51" spans="1:22" x14ac:dyDescent="0.35">
      <c r="A51" s="268" t="s">
        <v>412</v>
      </c>
      <c r="K51" s="406"/>
    </row>
    <row r="52" spans="1:22" x14ac:dyDescent="0.35">
      <c r="A52" s="11"/>
    </row>
    <row r="53" spans="1:22" x14ac:dyDescent="0.35">
      <c r="A53" s="11"/>
      <c r="B53" s="15">
        <f>'1. Stratification'!B24</f>
        <v>2016</v>
      </c>
      <c r="C53" s="16" t="s">
        <v>4</v>
      </c>
      <c r="D53" s="16"/>
      <c r="E53" s="16"/>
      <c r="F53" s="16"/>
      <c r="G53" s="252" t="s">
        <v>6</v>
      </c>
      <c r="H53" s="252"/>
      <c r="I53" s="252"/>
      <c r="J53" s="257" t="s">
        <v>5</v>
      </c>
      <c r="K53" s="18" t="s">
        <v>50</v>
      </c>
      <c r="L53" s="18"/>
      <c r="M53" s="19" t="s">
        <v>51</v>
      </c>
      <c r="N53" s="19"/>
      <c r="O53" s="19"/>
      <c r="P53" s="19"/>
      <c r="Q53" s="20" t="s">
        <v>52</v>
      </c>
      <c r="R53" s="20"/>
      <c r="S53" s="281" t="s">
        <v>92</v>
      </c>
      <c r="T53" s="212"/>
    </row>
    <row r="54" spans="1:22" ht="31.5" x14ac:dyDescent="0.35">
      <c r="A54" s="22">
        <f>'1. Stratification'!A25</f>
        <v>2011</v>
      </c>
      <c r="B54" s="21"/>
      <c r="C54" s="23" t="s">
        <v>53</v>
      </c>
      <c r="D54" s="23" t="s">
        <v>54</v>
      </c>
      <c r="E54" s="23" t="s">
        <v>55</v>
      </c>
      <c r="F54" s="23" t="s">
        <v>56</v>
      </c>
      <c r="G54" s="256" t="s">
        <v>57</v>
      </c>
      <c r="H54" s="256" t="s">
        <v>58</v>
      </c>
      <c r="I54" s="256" t="s">
        <v>59</v>
      </c>
      <c r="J54" s="258" t="s">
        <v>117</v>
      </c>
      <c r="K54" s="25" t="s">
        <v>60</v>
      </c>
      <c r="L54" s="33" t="s">
        <v>61</v>
      </c>
      <c r="M54" s="26" t="s">
        <v>62</v>
      </c>
      <c r="N54" s="26" t="s">
        <v>63</v>
      </c>
      <c r="O54" s="26" t="s">
        <v>64</v>
      </c>
      <c r="P54" s="26" t="s">
        <v>65</v>
      </c>
      <c r="Q54" s="27" t="s">
        <v>66</v>
      </c>
      <c r="R54" s="27" t="s">
        <v>67</v>
      </c>
      <c r="S54" s="281">
        <f>Intro!B22</f>
        <v>2011</v>
      </c>
      <c r="T54" s="212"/>
    </row>
    <row r="55" spans="1:22" x14ac:dyDescent="0.35">
      <c r="A55" s="16" t="s">
        <v>4</v>
      </c>
      <c r="B55" s="28" t="s">
        <v>53</v>
      </c>
      <c r="C55" s="277">
        <v>373.26130000000001</v>
      </c>
      <c r="D55" s="277">
        <v>1.1502000000000001</v>
      </c>
      <c r="E55" s="277">
        <v>0.57410000000000005</v>
      </c>
      <c r="F55" s="277"/>
      <c r="G55" s="276">
        <v>2.6000000000000002E-2</v>
      </c>
      <c r="H55" s="276">
        <v>1.5887</v>
      </c>
      <c r="I55" s="276">
        <v>4.9870000000000001</v>
      </c>
      <c r="J55" s="276"/>
      <c r="K55" s="276">
        <v>0.1246</v>
      </c>
      <c r="L55" s="276"/>
      <c r="M55" s="276"/>
      <c r="N55" s="276">
        <v>3.6000000000000004E-2</v>
      </c>
      <c r="O55" s="276">
        <v>0</v>
      </c>
      <c r="P55" s="276"/>
      <c r="Q55" s="276"/>
      <c r="R55" s="276"/>
      <c r="S55" s="405">
        <f t="shared" ref="S55:S58" si="4">SUM(C55:R55)</f>
        <v>381.74790000000002</v>
      </c>
      <c r="T55" s="213"/>
    </row>
    <row r="56" spans="1:22" x14ac:dyDescent="0.35">
      <c r="A56" s="16"/>
      <c r="B56" s="28" t="s">
        <v>54</v>
      </c>
      <c r="C56" s="277">
        <v>0.18780000000000002</v>
      </c>
      <c r="D56" s="277">
        <v>6006.0147000000006</v>
      </c>
      <c r="E56" s="277">
        <v>1.2233000000000001</v>
      </c>
      <c r="F56" s="277"/>
      <c r="G56" s="276">
        <v>0.31370000000000003</v>
      </c>
      <c r="H56" s="276">
        <v>1.4081000000000001</v>
      </c>
      <c r="I56" s="276">
        <v>2.0602</v>
      </c>
      <c r="J56" s="276">
        <v>2.63E-2</v>
      </c>
      <c r="K56" s="276">
        <v>0.1603</v>
      </c>
      <c r="L56" s="276"/>
      <c r="M56" s="276">
        <v>8.8999999999999999E-3</v>
      </c>
      <c r="N56" s="276">
        <v>5.8500000000000003E-2</v>
      </c>
      <c r="O56" s="276">
        <v>0.90810000000000002</v>
      </c>
      <c r="P56" s="276">
        <v>7.9040000000000008</v>
      </c>
      <c r="Q56" s="276"/>
      <c r="R56" s="276"/>
      <c r="S56" s="405">
        <f t="shared" si="4"/>
        <v>6020.2738999999992</v>
      </c>
      <c r="T56" s="213"/>
    </row>
    <row r="57" spans="1:22" x14ac:dyDescent="0.35">
      <c r="A57" s="16"/>
      <c r="B57" s="28" t="s">
        <v>55</v>
      </c>
      <c r="C57" s="277">
        <v>0.1203</v>
      </c>
      <c r="D57" s="277">
        <v>16.021599999999999</v>
      </c>
      <c r="E57" s="277">
        <v>29693.497500000001</v>
      </c>
      <c r="F57" s="277"/>
      <c r="G57" s="276">
        <v>2.2672000000000003</v>
      </c>
      <c r="H57" s="276">
        <v>59.378700000000002</v>
      </c>
      <c r="I57" s="276">
        <v>24.2316</v>
      </c>
      <c r="J57" s="276">
        <v>0.4093</v>
      </c>
      <c r="K57" s="276">
        <v>2.0756000000000001</v>
      </c>
      <c r="L57" s="276">
        <v>2.2000000000000002E-2</v>
      </c>
      <c r="M57" s="276">
        <v>0.82090000000000007</v>
      </c>
      <c r="N57" s="276">
        <v>4.4196</v>
      </c>
      <c r="O57" s="276">
        <v>14.057500000000001</v>
      </c>
      <c r="P57" s="276">
        <v>49.539000000000001</v>
      </c>
      <c r="Q57" s="276">
        <v>0</v>
      </c>
      <c r="R57" s="276"/>
      <c r="S57" s="405">
        <f t="shared" si="4"/>
        <v>29866.860799999999</v>
      </c>
      <c r="T57" s="213"/>
    </row>
    <row r="58" spans="1:22" x14ac:dyDescent="0.35">
      <c r="A58" s="16"/>
      <c r="B58" s="28" t="s">
        <v>56</v>
      </c>
      <c r="C58" s="277"/>
      <c r="D58" s="277"/>
      <c r="E58" s="277"/>
      <c r="F58" s="277">
        <v>3582.2212</v>
      </c>
      <c r="G58" s="276"/>
      <c r="H58" s="276"/>
      <c r="I58" s="276"/>
      <c r="J58" s="276"/>
      <c r="K58" s="276">
        <v>1.4521000000000002</v>
      </c>
      <c r="L58" s="276">
        <v>5.9898000000000007</v>
      </c>
      <c r="M58" s="276"/>
      <c r="N58" s="276">
        <v>3.1300000000000001E-2</v>
      </c>
      <c r="O58" s="276">
        <v>8.1200000000000008E-2</v>
      </c>
      <c r="P58" s="276">
        <v>0.55359999999999998</v>
      </c>
      <c r="Q58" s="276"/>
      <c r="R58" s="276"/>
      <c r="S58" s="405">
        <f t="shared" si="4"/>
        <v>3590.3292000000001</v>
      </c>
      <c r="T58" s="213"/>
      <c r="U58" s="172"/>
    </row>
    <row r="59" spans="1:22" x14ac:dyDescent="0.35">
      <c r="A59" s="252" t="s">
        <v>6</v>
      </c>
      <c r="B59" s="253" t="s">
        <v>57</v>
      </c>
      <c r="C59" s="277">
        <v>1.0450000000000002</v>
      </c>
      <c r="D59" s="277">
        <v>6.8305000000000007</v>
      </c>
      <c r="E59" s="277">
        <v>10.023900000000001</v>
      </c>
      <c r="F59" s="277">
        <v>9.0500000000000011E-2</v>
      </c>
      <c r="G59" s="282">
        <v>4459.8357000000005</v>
      </c>
      <c r="H59" s="282">
        <v>6.1881000000000004</v>
      </c>
      <c r="I59" s="282">
        <v>9.0061</v>
      </c>
      <c r="J59" s="282">
        <v>38.978300000000004</v>
      </c>
      <c r="K59" s="282">
        <v>7.6600000000000001E-2</v>
      </c>
      <c r="L59" s="282"/>
      <c r="M59" s="282">
        <v>0.69030000000000002</v>
      </c>
      <c r="N59" s="282">
        <v>2.0432999999999999</v>
      </c>
      <c r="O59" s="282">
        <v>5.8121</v>
      </c>
      <c r="P59" s="282">
        <v>8.3923000000000005</v>
      </c>
      <c r="Q59" s="282">
        <v>0.3075</v>
      </c>
      <c r="R59" s="282"/>
      <c r="S59" s="122">
        <f t="shared" ref="S59:S70" si="5">SUM(C59:R59)</f>
        <v>4549.320200000001</v>
      </c>
      <c r="U59" s="188"/>
    </row>
    <row r="60" spans="1:22" x14ac:dyDescent="0.35">
      <c r="A60" s="252"/>
      <c r="B60" s="253" t="s">
        <v>58</v>
      </c>
      <c r="C60" s="277">
        <v>0.54480000000000006</v>
      </c>
      <c r="D60" s="277">
        <v>2.9112</v>
      </c>
      <c r="E60" s="277">
        <v>14.250900000000001</v>
      </c>
      <c r="F60" s="277"/>
      <c r="G60" s="282">
        <v>0.51980000000000004</v>
      </c>
      <c r="H60" s="282">
        <v>68.522199999999998</v>
      </c>
      <c r="I60" s="282">
        <v>3.2746</v>
      </c>
      <c r="J60" s="282">
        <v>0.2346</v>
      </c>
      <c r="K60" s="282">
        <v>0.3256</v>
      </c>
      <c r="L60" s="282">
        <v>0</v>
      </c>
      <c r="M60" s="282">
        <v>0.1777</v>
      </c>
      <c r="N60" s="282">
        <v>1.6012000000000002</v>
      </c>
      <c r="O60" s="282">
        <v>1.8898000000000001</v>
      </c>
      <c r="P60" s="282">
        <v>1.6875</v>
      </c>
      <c r="Q60" s="282"/>
      <c r="R60" s="282"/>
      <c r="S60" s="122">
        <f t="shared" si="5"/>
        <v>95.939899999999994</v>
      </c>
      <c r="U60" s="140"/>
      <c r="V60" s="171"/>
    </row>
    <row r="61" spans="1:22" x14ac:dyDescent="0.35">
      <c r="A61" s="252"/>
      <c r="B61" s="253" t="s">
        <v>59</v>
      </c>
      <c r="C61" s="277">
        <v>2.5863</v>
      </c>
      <c r="D61" s="277">
        <v>49.0259</v>
      </c>
      <c r="E61" s="277">
        <v>89.251000000000005</v>
      </c>
      <c r="F61" s="277">
        <v>0.12760000000000002</v>
      </c>
      <c r="G61" s="282">
        <v>16.921900000000001</v>
      </c>
      <c r="H61" s="282">
        <v>24.325200000000002</v>
      </c>
      <c r="I61" s="282">
        <v>223.42010000000002</v>
      </c>
      <c r="J61" s="282">
        <v>1.4825000000000002</v>
      </c>
      <c r="K61" s="282">
        <v>0</v>
      </c>
      <c r="L61" s="282"/>
      <c r="M61" s="282">
        <v>0.3624</v>
      </c>
      <c r="N61" s="282">
        <v>3.7400000000000003E-2</v>
      </c>
      <c r="O61" s="282">
        <v>6.7000000000000004E-2</v>
      </c>
      <c r="P61" s="282">
        <v>0.58510000000000006</v>
      </c>
      <c r="Q61" s="282"/>
      <c r="R61" s="282"/>
      <c r="S61" s="122">
        <f t="shared" si="5"/>
        <v>408.19240000000002</v>
      </c>
    </row>
    <row r="62" spans="1:22" x14ac:dyDescent="0.35">
      <c r="A62" s="254" t="s">
        <v>5</v>
      </c>
      <c r="B62" s="255" t="s">
        <v>117</v>
      </c>
      <c r="C62" s="277"/>
      <c r="D62" s="277"/>
      <c r="E62" s="277"/>
      <c r="F62" s="277"/>
      <c r="G62" s="282">
        <v>0.43280000000000002</v>
      </c>
      <c r="H62" s="282"/>
      <c r="I62" s="282"/>
      <c r="J62" s="282">
        <v>840.37210000000005</v>
      </c>
      <c r="K62" s="282"/>
      <c r="L62" s="282">
        <v>0.1865</v>
      </c>
      <c r="M62" s="282">
        <v>1.26E-2</v>
      </c>
      <c r="N62" s="282">
        <v>1.0257000000000001</v>
      </c>
      <c r="O62" s="282">
        <v>1.5933000000000002</v>
      </c>
      <c r="P62" s="282">
        <v>1.3340000000000001</v>
      </c>
      <c r="Q62" s="282">
        <v>9.4300000000000009E-2</v>
      </c>
      <c r="R62" s="282"/>
      <c r="S62" s="122">
        <f t="shared" si="5"/>
        <v>845.05130000000008</v>
      </c>
    </row>
    <row r="63" spans="1:22" x14ac:dyDescent="0.35">
      <c r="A63" s="18" t="s">
        <v>50</v>
      </c>
      <c r="B63" s="33" t="s">
        <v>60</v>
      </c>
      <c r="C63" s="277"/>
      <c r="D63" s="277">
        <v>1.0401</v>
      </c>
      <c r="E63" s="277">
        <v>3.5723000000000003</v>
      </c>
      <c r="F63" s="277">
        <v>13.565900000000001</v>
      </c>
      <c r="G63" s="282">
        <v>7.0199999999999999E-2</v>
      </c>
      <c r="H63" s="282">
        <v>0.69710000000000005</v>
      </c>
      <c r="I63" s="282">
        <v>8.6500000000000007E-2</v>
      </c>
      <c r="J63" s="282">
        <v>0</v>
      </c>
      <c r="K63" s="282">
        <v>282.4391</v>
      </c>
      <c r="L63" s="282">
        <v>10.9816</v>
      </c>
      <c r="M63" s="282"/>
      <c r="N63" s="282">
        <v>0</v>
      </c>
      <c r="O63" s="282">
        <v>9.7700000000000009E-2</v>
      </c>
      <c r="P63" s="282"/>
      <c r="Q63" s="282">
        <v>4.9399999999999999E-2</v>
      </c>
      <c r="R63" s="282"/>
      <c r="S63" s="122">
        <f t="shared" si="5"/>
        <v>312.59989999999999</v>
      </c>
    </row>
    <row r="64" spans="1:22" ht="21" x14ac:dyDescent="0.35">
      <c r="A64" s="18"/>
      <c r="B64" s="33" t="s">
        <v>61</v>
      </c>
      <c r="C64" s="277"/>
      <c r="D64" s="277"/>
      <c r="E64" s="277">
        <v>0</v>
      </c>
      <c r="F64" s="277">
        <v>21.9788</v>
      </c>
      <c r="G64" s="282"/>
      <c r="H64" s="282">
        <v>3.8900000000000004E-2</v>
      </c>
      <c r="I64" s="282"/>
      <c r="J64" s="282">
        <v>0</v>
      </c>
      <c r="K64" s="282">
        <v>1.0482</v>
      </c>
      <c r="L64" s="282">
        <v>29.132900000000003</v>
      </c>
      <c r="M64" s="282">
        <v>1.35E-2</v>
      </c>
      <c r="N64" s="282">
        <v>6.6100000000000006E-2</v>
      </c>
      <c r="O64" s="282">
        <v>7.3900000000000007E-2</v>
      </c>
      <c r="P64" s="282">
        <v>1.9E-2</v>
      </c>
      <c r="Q64" s="282"/>
      <c r="R64" s="282"/>
      <c r="S64" s="122">
        <f t="shared" si="5"/>
        <v>52.371300000000005</v>
      </c>
    </row>
    <row r="65" spans="1:20" x14ac:dyDescent="0.35">
      <c r="A65" s="19" t="s">
        <v>51</v>
      </c>
      <c r="B65" s="34" t="s">
        <v>62</v>
      </c>
      <c r="C65" s="277"/>
      <c r="D65" s="277"/>
      <c r="E65" s="277"/>
      <c r="F65" s="277"/>
      <c r="G65" s="282"/>
      <c r="H65" s="282"/>
      <c r="I65" s="282"/>
      <c r="J65" s="282"/>
      <c r="K65" s="282"/>
      <c r="L65" s="282"/>
      <c r="M65" s="282">
        <v>171.46190000000001</v>
      </c>
      <c r="N65" s="282"/>
      <c r="O65" s="282"/>
      <c r="P65" s="282"/>
      <c r="Q65" s="282"/>
      <c r="R65" s="282"/>
      <c r="S65" s="122">
        <f t="shared" si="5"/>
        <v>171.46190000000001</v>
      </c>
    </row>
    <row r="66" spans="1:20" x14ac:dyDescent="0.35">
      <c r="A66" s="19"/>
      <c r="B66" s="34" t="s">
        <v>63</v>
      </c>
      <c r="C66" s="277"/>
      <c r="D66" s="277"/>
      <c r="E66" s="277"/>
      <c r="F66" s="277"/>
      <c r="G66" s="282"/>
      <c r="H66" s="282"/>
      <c r="I66" s="282"/>
      <c r="J66" s="282"/>
      <c r="K66" s="282"/>
      <c r="L66" s="282"/>
      <c r="M66" s="282"/>
      <c r="N66" s="282">
        <v>1597.2618</v>
      </c>
      <c r="O66" s="282"/>
      <c r="P66" s="282"/>
      <c r="Q66" s="282"/>
      <c r="R66" s="282"/>
      <c r="S66" s="122">
        <f t="shared" si="5"/>
        <v>1597.2618</v>
      </c>
    </row>
    <row r="67" spans="1:20" x14ac:dyDescent="0.35">
      <c r="A67" s="19"/>
      <c r="B67" s="34" t="s">
        <v>64</v>
      </c>
      <c r="C67" s="277"/>
      <c r="D67" s="277"/>
      <c r="E67" s="277"/>
      <c r="F67" s="277"/>
      <c r="G67" s="282"/>
      <c r="H67" s="282"/>
      <c r="I67" s="282"/>
      <c r="J67" s="282"/>
      <c r="K67" s="282"/>
      <c r="L67" s="282"/>
      <c r="M67" s="282"/>
      <c r="N67" s="282"/>
      <c r="O67" s="282">
        <v>7079.5883000000003</v>
      </c>
      <c r="P67" s="282"/>
      <c r="Q67" s="282"/>
      <c r="R67" s="282"/>
      <c r="S67" s="122">
        <f t="shared" si="5"/>
        <v>7079.5883000000003</v>
      </c>
    </row>
    <row r="68" spans="1:20" x14ac:dyDescent="0.35">
      <c r="A68" s="19"/>
      <c r="B68" s="34" t="s">
        <v>65</v>
      </c>
      <c r="C68" s="277"/>
      <c r="D68" s="277"/>
      <c r="E68" s="277"/>
      <c r="F68" s="277"/>
      <c r="G68" s="282"/>
      <c r="H68" s="282"/>
      <c r="I68" s="282"/>
      <c r="J68" s="282"/>
      <c r="K68" s="282"/>
      <c r="L68" s="282"/>
      <c r="M68" s="282">
        <v>1.9552</v>
      </c>
      <c r="N68" s="282">
        <v>33.505400000000002</v>
      </c>
      <c r="O68" s="282">
        <v>23.049500000000002</v>
      </c>
      <c r="P68" s="282">
        <v>14582.930200000001</v>
      </c>
      <c r="Q68" s="282"/>
      <c r="R68" s="282"/>
      <c r="S68" s="122">
        <f t="shared" si="5"/>
        <v>14641.4403</v>
      </c>
    </row>
    <row r="69" spans="1:20" x14ac:dyDescent="0.35">
      <c r="A69" s="20" t="s">
        <v>52</v>
      </c>
      <c r="B69" s="35" t="s">
        <v>66</v>
      </c>
      <c r="C69" s="276"/>
      <c r="D69" s="277"/>
      <c r="E69" s="616">
        <v>8.7100000000000011E-2</v>
      </c>
      <c r="F69" s="276"/>
      <c r="G69" s="282"/>
      <c r="H69" s="282"/>
      <c r="I69" s="282"/>
      <c r="J69" s="282"/>
      <c r="K69" s="282">
        <v>2.5000000000000001E-2</v>
      </c>
      <c r="L69" s="282"/>
      <c r="M69" s="282">
        <v>0</v>
      </c>
      <c r="N69" s="282">
        <v>7.0699999999999999E-2</v>
      </c>
      <c r="O69" s="282">
        <v>0.34290000000000004</v>
      </c>
      <c r="P69" s="282">
        <v>6.0600000000000001E-2</v>
      </c>
      <c r="Q69" s="282">
        <v>26.068000000000001</v>
      </c>
      <c r="R69" s="282"/>
      <c r="S69" s="122">
        <f t="shared" si="5"/>
        <v>26.654300000000003</v>
      </c>
      <c r="T69" s="118" t="s">
        <v>77</v>
      </c>
    </row>
    <row r="70" spans="1:20" x14ac:dyDescent="0.35">
      <c r="A70" s="20"/>
      <c r="B70" s="35" t="s">
        <v>68</v>
      </c>
      <c r="C70" s="278"/>
      <c r="D70" s="564"/>
      <c r="E70" s="564"/>
      <c r="F70" s="564"/>
      <c r="G70" s="282"/>
      <c r="H70" s="282"/>
      <c r="I70" s="282"/>
      <c r="J70" s="282"/>
      <c r="K70" s="282"/>
      <c r="L70" s="282"/>
      <c r="M70" s="282"/>
      <c r="N70" s="282"/>
      <c r="O70" s="282"/>
      <c r="P70" s="282"/>
      <c r="Q70" s="282"/>
      <c r="R70" s="282"/>
      <c r="S70" s="122">
        <f t="shared" si="5"/>
        <v>0</v>
      </c>
      <c r="T70" s="119">
        <f>Intro!B22</f>
        <v>2011</v>
      </c>
    </row>
    <row r="71" spans="1:20" x14ac:dyDescent="0.35">
      <c r="A71" s="124" t="s">
        <v>92</v>
      </c>
      <c r="B71" s="124">
        <f>Intro!B23</f>
        <v>2016</v>
      </c>
      <c r="C71" s="405">
        <f t="shared" ref="C71:F71" si="6">SUM(C55:C70)</f>
        <v>377.74549999999999</v>
      </c>
      <c r="D71" s="405">
        <f t="shared" si="6"/>
        <v>6082.9942000000001</v>
      </c>
      <c r="E71" s="405">
        <f t="shared" si="6"/>
        <v>29812.480100000001</v>
      </c>
      <c r="F71" s="405">
        <f t="shared" si="6"/>
        <v>3617.9839999999995</v>
      </c>
      <c r="G71" s="122">
        <f t="shared" ref="G71:R71" si="7">SUM(G55:G70)</f>
        <v>4480.3873000000003</v>
      </c>
      <c r="H71" s="122">
        <f t="shared" si="7"/>
        <v>162.14700000000002</v>
      </c>
      <c r="I71" s="122">
        <f t="shared" si="7"/>
        <v>267.06610000000001</v>
      </c>
      <c r="J71" s="122">
        <f t="shared" si="7"/>
        <v>881.50310000000002</v>
      </c>
      <c r="K71" s="122">
        <f t="shared" si="7"/>
        <v>287.72710000000001</v>
      </c>
      <c r="L71" s="122">
        <f t="shared" si="7"/>
        <v>46.312800000000003</v>
      </c>
      <c r="M71" s="122">
        <f t="shared" si="7"/>
        <v>175.5034</v>
      </c>
      <c r="N71" s="122">
        <f t="shared" si="7"/>
        <v>1640.1569999999999</v>
      </c>
      <c r="O71" s="122">
        <f t="shared" si="7"/>
        <v>7127.5613000000003</v>
      </c>
      <c r="P71" s="122">
        <f t="shared" si="7"/>
        <v>14653.005300000001</v>
      </c>
      <c r="Q71" s="122">
        <f t="shared" si="7"/>
        <v>26.519200000000001</v>
      </c>
      <c r="R71" s="280">
        <f t="shared" si="7"/>
        <v>0</v>
      </c>
      <c r="S71" s="116"/>
      <c r="T71" s="189">
        <f>SUM(C71:R71)</f>
        <v>69639.093399999998</v>
      </c>
    </row>
    <row r="72" spans="1:20" x14ac:dyDescent="0.35">
      <c r="A72" s="214"/>
      <c r="B72" s="214"/>
      <c r="C72" s="215"/>
      <c r="D72" s="215"/>
      <c r="E72" s="215"/>
      <c r="F72" s="215"/>
      <c r="G72" s="80"/>
      <c r="H72" s="80"/>
      <c r="I72" s="80"/>
      <c r="J72" s="80"/>
      <c r="K72" s="80"/>
      <c r="L72" s="80"/>
      <c r="M72" s="80"/>
      <c r="N72" s="80"/>
      <c r="O72" s="80"/>
      <c r="P72" s="80"/>
      <c r="Q72" s="117" t="s">
        <v>77</v>
      </c>
      <c r="R72" s="119">
        <f>Intro!B23</f>
        <v>2016</v>
      </c>
      <c r="S72" s="189">
        <f>SUM(S55:S70)</f>
        <v>69639.093399999998</v>
      </c>
    </row>
    <row r="74" spans="1:20" x14ac:dyDescent="0.35">
      <c r="A74" s="2" t="s">
        <v>445</v>
      </c>
      <c r="I74" s="406"/>
    </row>
    <row r="75" spans="1:20" x14ac:dyDescent="0.35">
      <c r="A75" s="288" t="s">
        <v>412</v>
      </c>
    </row>
    <row r="76" spans="1:20" x14ac:dyDescent="0.35">
      <c r="A76" s="288"/>
    </row>
    <row r="77" spans="1:20" x14ac:dyDescent="0.35">
      <c r="B77">
        <f>Intro!B23</f>
        <v>2016</v>
      </c>
    </row>
    <row r="78" spans="1:20" x14ac:dyDescent="0.35">
      <c r="A78" s="180">
        <f>Intro!B22</f>
        <v>2011</v>
      </c>
      <c r="B78" s="16" t="s">
        <v>4</v>
      </c>
      <c r="C78" s="252" t="s">
        <v>6</v>
      </c>
      <c r="D78" s="257" t="s">
        <v>5</v>
      </c>
      <c r="E78" s="18" t="s">
        <v>50</v>
      </c>
      <c r="F78" s="19" t="s">
        <v>51</v>
      </c>
      <c r="G78" s="20" t="s">
        <v>52</v>
      </c>
      <c r="H78" s="311" t="s">
        <v>92</v>
      </c>
    </row>
    <row r="79" spans="1:20" x14ac:dyDescent="0.35">
      <c r="A79" s="16" t="s">
        <v>4</v>
      </c>
      <c r="B79" s="276">
        <f>SUM(C55:F58)</f>
        <v>39674.271999999997</v>
      </c>
      <c r="C79" s="291">
        <f>SUM(G55:I58)</f>
        <v>96.261200000000002</v>
      </c>
      <c r="D79" s="291">
        <f>SUM(J55:J58)</f>
        <v>0.43559999999999999</v>
      </c>
      <c r="E79" s="291">
        <f>SUM(K55:L58)</f>
        <v>9.8244000000000007</v>
      </c>
      <c r="F79" s="291">
        <f>SUM(M55:P58)</f>
        <v>78.418599999999998</v>
      </c>
      <c r="G79" s="291">
        <f>SUM(Q55:R58)</f>
        <v>0</v>
      </c>
      <c r="H79" s="274">
        <f t="shared" ref="H79:H84" si="8">SUM(B79:G79)</f>
        <v>39859.21179999999</v>
      </c>
    </row>
    <row r="80" spans="1:20" x14ac:dyDescent="0.35">
      <c r="A80" s="252" t="s">
        <v>6</v>
      </c>
      <c r="B80" s="279">
        <f>SUM(C59:F61)</f>
        <v>176.6876</v>
      </c>
      <c r="C80" s="294">
        <f>SUM(G59:I61)</f>
        <v>4812.0137000000013</v>
      </c>
      <c r="D80" s="294">
        <f>SUM(J59:J61)</f>
        <v>40.695400000000006</v>
      </c>
      <c r="E80" s="294">
        <f>SUM(K59:L61)</f>
        <v>0.4022</v>
      </c>
      <c r="F80" s="295">
        <f>SUM(M59:P61)</f>
        <v>23.346100000000007</v>
      </c>
      <c r="G80" s="298">
        <f>SUM(Q59:R61)</f>
        <v>0.3075</v>
      </c>
      <c r="H80" s="176">
        <f t="shared" si="8"/>
        <v>5053.4525000000012</v>
      </c>
    </row>
    <row r="81" spans="1:20" x14ac:dyDescent="0.35">
      <c r="A81" s="254" t="s">
        <v>5</v>
      </c>
      <c r="B81" s="279">
        <f>SUM(C62:F62)</f>
        <v>0</v>
      </c>
      <c r="C81" s="294">
        <f>SUM(G62:I62)</f>
        <v>0.43280000000000002</v>
      </c>
      <c r="D81" s="294">
        <f>J62</f>
        <v>840.37210000000005</v>
      </c>
      <c r="E81" s="294">
        <f>SUM(K62:L62)</f>
        <v>0.1865</v>
      </c>
      <c r="F81" s="294">
        <f>SUM(M62:P62)</f>
        <v>3.9656000000000002</v>
      </c>
      <c r="G81" s="298">
        <f>SUM(Q62:R62)</f>
        <v>9.4300000000000009E-2</v>
      </c>
      <c r="H81" s="176">
        <f t="shared" si="8"/>
        <v>845.05130000000008</v>
      </c>
      <c r="K81" s="39">
        <f>SUM(C80:G84)</f>
        <v>29562.949800000002</v>
      </c>
    </row>
    <row r="82" spans="1:20" x14ac:dyDescent="0.35">
      <c r="A82" s="18" t="s">
        <v>50</v>
      </c>
      <c r="B82" s="279">
        <f>SUM(C63:F64)</f>
        <v>40.1571</v>
      </c>
      <c r="C82" s="295">
        <f>SUM(G63:I64)</f>
        <v>0.89270000000000016</v>
      </c>
      <c r="D82" s="295">
        <f>SUM(J63:J64)</f>
        <v>0</v>
      </c>
      <c r="E82" s="294">
        <f>SUM(K63:L64)</f>
        <v>323.60180000000003</v>
      </c>
      <c r="F82" s="295">
        <f>SUM(M63:P64)</f>
        <v>0.27020000000000005</v>
      </c>
      <c r="G82" s="299">
        <f>SUM(Q63:R64)</f>
        <v>4.9399999999999999E-2</v>
      </c>
      <c r="H82" s="176">
        <f t="shared" si="8"/>
        <v>364.97120000000001</v>
      </c>
      <c r="M82" s="293"/>
    </row>
    <row r="83" spans="1:20" x14ac:dyDescent="0.35">
      <c r="A83" s="19" t="s">
        <v>51</v>
      </c>
      <c r="B83" s="289">
        <f>SUM(C65:F68)</f>
        <v>0</v>
      </c>
      <c r="C83" s="295">
        <f>SUM(G65:I68)</f>
        <v>0</v>
      </c>
      <c r="D83" s="295">
        <f>SUM(J65:J68)</f>
        <v>0</v>
      </c>
      <c r="E83" s="295">
        <f>SUM(K65:L68)</f>
        <v>0</v>
      </c>
      <c r="F83" s="294">
        <f>SUM(M65:P68)</f>
        <v>23489.7523</v>
      </c>
      <c r="G83" s="298">
        <f>SUM(Q65:R68)</f>
        <v>0</v>
      </c>
      <c r="H83" s="176">
        <f t="shared" si="8"/>
        <v>23489.7523</v>
      </c>
      <c r="K83" s="39"/>
    </row>
    <row r="84" spans="1:20" x14ac:dyDescent="0.35">
      <c r="A84" s="20" t="s">
        <v>52</v>
      </c>
      <c r="B84" s="290">
        <f>SUM(C69:F70)</f>
        <v>8.7100000000000011E-2</v>
      </c>
      <c r="C84" s="296">
        <f>SUM(G69:I70)</f>
        <v>0</v>
      </c>
      <c r="D84" s="297">
        <f>SUM(J69:J70)</f>
        <v>0</v>
      </c>
      <c r="E84" s="297">
        <f>SUM(K69:L70)</f>
        <v>2.5000000000000001E-2</v>
      </c>
      <c r="F84" s="296">
        <f>SUM(M69:P70)</f>
        <v>0.47420000000000001</v>
      </c>
      <c r="G84" s="292">
        <f>SUM(Q69:R70)</f>
        <v>26.068000000000001</v>
      </c>
      <c r="H84" s="176">
        <f t="shared" si="8"/>
        <v>26.654300000000003</v>
      </c>
    </row>
    <row r="85" spans="1:20" x14ac:dyDescent="0.35">
      <c r="A85" s="124" t="s">
        <v>92</v>
      </c>
      <c r="B85" s="274">
        <f t="shared" ref="B85:H85" si="9">SUM(B79:B84)</f>
        <v>39891.203799999988</v>
      </c>
      <c r="C85" s="174">
        <f t="shared" si="9"/>
        <v>4909.6004000000012</v>
      </c>
      <c r="D85" s="174">
        <f t="shared" si="9"/>
        <v>881.50310000000002</v>
      </c>
      <c r="E85" s="174">
        <f t="shared" si="9"/>
        <v>334.03989999999999</v>
      </c>
      <c r="F85" s="174">
        <f t="shared" si="9"/>
        <v>23596.226999999999</v>
      </c>
      <c r="G85" s="174">
        <f t="shared" si="9"/>
        <v>26.519200000000001</v>
      </c>
      <c r="H85" s="216">
        <f t="shared" si="9"/>
        <v>69639.093399999983</v>
      </c>
      <c r="J85" s="39"/>
    </row>
    <row r="86" spans="1:20" x14ac:dyDescent="0.35">
      <c r="H86" s="140"/>
      <c r="I86" s="13"/>
    </row>
    <row r="87" spans="1:20" x14ac:dyDescent="0.35">
      <c r="H87" s="140"/>
      <c r="I87" s="13"/>
    </row>
    <row r="88" spans="1:20" x14ac:dyDescent="0.35">
      <c r="A88" s="2" t="s">
        <v>446</v>
      </c>
    </row>
    <row r="89" spans="1:20" x14ac:dyDescent="0.35">
      <c r="A89" s="288" t="s">
        <v>399</v>
      </c>
    </row>
    <row r="90" spans="1:20" x14ac:dyDescent="0.35">
      <c r="C90" s="82"/>
      <c r="E90" s="39"/>
      <c r="R90" s="39"/>
    </row>
    <row r="91" spans="1:20" x14ac:dyDescent="0.35">
      <c r="A91" s="11"/>
    </row>
    <row r="92" spans="1:20" x14ac:dyDescent="0.35">
      <c r="A92" s="11"/>
      <c r="B92" s="15">
        <f>Intro!B23</f>
        <v>2016</v>
      </c>
      <c r="C92" s="16" t="s">
        <v>4</v>
      </c>
      <c r="D92" s="16"/>
      <c r="E92" s="16"/>
      <c r="F92" s="16"/>
      <c r="G92" s="252" t="s">
        <v>6</v>
      </c>
      <c r="H92" s="252"/>
      <c r="I92" s="252"/>
      <c r="J92" s="257" t="s">
        <v>5</v>
      </c>
      <c r="K92" s="18" t="s">
        <v>50</v>
      </c>
      <c r="L92" s="18"/>
      <c r="M92" s="19" t="s">
        <v>51</v>
      </c>
      <c r="N92" s="19"/>
      <c r="O92" s="19"/>
      <c r="P92" s="19"/>
      <c r="Q92" s="20" t="s">
        <v>52</v>
      </c>
      <c r="R92" s="20"/>
      <c r="S92" s="281" t="s">
        <v>92</v>
      </c>
      <c r="T92" s="212"/>
    </row>
    <row r="93" spans="1:20" ht="31.5" x14ac:dyDescent="0.35">
      <c r="A93" s="22">
        <f>Intro!B22</f>
        <v>2011</v>
      </c>
      <c r="B93" s="21"/>
      <c r="C93" s="23" t="s">
        <v>53</v>
      </c>
      <c r="D93" s="23" t="s">
        <v>54</v>
      </c>
      <c r="E93" s="23" t="s">
        <v>55</v>
      </c>
      <c r="F93" s="23" t="s">
        <v>56</v>
      </c>
      <c r="G93" s="256" t="s">
        <v>57</v>
      </c>
      <c r="H93" s="256" t="s">
        <v>58</v>
      </c>
      <c r="I93" s="256" t="s">
        <v>59</v>
      </c>
      <c r="J93" s="258" t="s">
        <v>117</v>
      </c>
      <c r="K93" s="25" t="s">
        <v>60</v>
      </c>
      <c r="L93" s="33" t="s">
        <v>61</v>
      </c>
      <c r="M93" s="26" t="s">
        <v>62</v>
      </c>
      <c r="N93" s="26" t="s">
        <v>63</v>
      </c>
      <c r="O93" s="26" t="s">
        <v>64</v>
      </c>
      <c r="P93" s="26" t="s">
        <v>65</v>
      </c>
      <c r="Q93" s="27" t="s">
        <v>66</v>
      </c>
      <c r="R93" s="27" t="s">
        <v>67</v>
      </c>
      <c r="S93" s="286"/>
      <c r="T93" s="212"/>
    </row>
    <row r="94" spans="1:20" x14ac:dyDescent="0.35">
      <c r="A94" s="16" t="s">
        <v>4</v>
      </c>
      <c r="B94" s="28" t="s">
        <v>53</v>
      </c>
      <c r="C94" s="277">
        <v>3.7498</v>
      </c>
      <c r="D94" s="277">
        <v>3.9000000000000003E-3</v>
      </c>
      <c r="E94" s="277">
        <v>7.4000000000000003E-3</v>
      </c>
      <c r="F94" s="277"/>
      <c r="G94" s="276">
        <v>4.1000000000000003E-3</v>
      </c>
      <c r="H94" s="276">
        <v>1.8519000000000001</v>
      </c>
      <c r="I94" s="276">
        <v>0.39500000000000002</v>
      </c>
      <c r="J94" s="276"/>
      <c r="K94" s="276">
        <v>5.3E-3</v>
      </c>
      <c r="L94" s="276"/>
      <c r="M94" s="276"/>
      <c r="N94" s="276">
        <v>2.58E-2</v>
      </c>
      <c r="O94" s="276">
        <v>0</v>
      </c>
      <c r="P94" s="276"/>
      <c r="Q94" s="276"/>
      <c r="R94" s="276"/>
      <c r="S94" s="127">
        <f t="shared" ref="S94:S97" si="10">SUM(C94:R94)</f>
        <v>6.0432000000000006</v>
      </c>
      <c r="T94" s="213"/>
    </row>
    <row r="95" spans="1:20" x14ac:dyDescent="0.35">
      <c r="A95" s="16"/>
      <c r="B95" s="28" t="s">
        <v>54</v>
      </c>
      <c r="C95" s="277">
        <v>1E-4</v>
      </c>
      <c r="D95" s="277">
        <v>80.210300000000004</v>
      </c>
      <c r="E95" s="277">
        <v>1.3100000000000001E-2</v>
      </c>
      <c r="F95" s="277"/>
      <c r="G95" s="276">
        <v>5.0000000000000001E-4</v>
      </c>
      <c r="H95" s="276">
        <v>1.1907000000000001</v>
      </c>
      <c r="I95" s="276">
        <v>0.10060000000000001</v>
      </c>
      <c r="J95" s="276">
        <v>0</v>
      </c>
      <c r="K95" s="276">
        <v>3.0000000000000001E-3</v>
      </c>
      <c r="L95" s="276"/>
      <c r="M95" s="276">
        <v>0.11510000000000001</v>
      </c>
      <c r="N95" s="276">
        <v>0.28510000000000002</v>
      </c>
      <c r="O95" s="276">
        <v>0.33069999999999999</v>
      </c>
      <c r="P95" s="276">
        <v>0.51690000000000003</v>
      </c>
      <c r="Q95" s="276"/>
      <c r="R95" s="276"/>
      <c r="S95" s="127">
        <f t="shared" si="10"/>
        <v>82.766100000000009</v>
      </c>
      <c r="T95" s="213"/>
    </row>
    <row r="96" spans="1:20" x14ac:dyDescent="0.35">
      <c r="A96" s="16"/>
      <c r="B96" s="28" t="s">
        <v>55</v>
      </c>
      <c r="C96" s="277">
        <v>1E-4</v>
      </c>
      <c r="D96" s="277">
        <v>0.12920000000000001</v>
      </c>
      <c r="E96" s="277">
        <v>343.33269999999999</v>
      </c>
      <c r="F96" s="277"/>
      <c r="G96" s="276">
        <v>0.1087</v>
      </c>
      <c r="H96" s="276">
        <v>22.687000000000001</v>
      </c>
      <c r="I96" s="276">
        <v>1.3039000000000001</v>
      </c>
      <c r="J96" s="276">
        <v>2.2000000000000002E-2</v>
      </c>
      <c r="K96" s="276">
        <v>4.9800000000000004E-2</v>
      </c>
      <c r="L96" s="276">
        <v>1E-4</v>
      </c>
      <c r="M96" s="276">
        <v>2.7753000000000001</v>
      </c>
      <c r="N96" s="276">
        <v>17.232600000000001</v>
      </c>
      <c r="O96" s="276">
        <v>19.2821</v>
      </c>
      <c r="P96" s="276">
        <v>8.0356000000000005</v>
      </c>
      <c r="Q96" s="276">
        <v>0</v>
      </c>
      <c r="R96" s="276"/>
      <c r="S96" s="127">
        <f t="shared" si="10"/>
        <v>414.95909999999998</v>
      </c>
      <c r="T96" s="213"/>
    </row>
    <row r="97" spans="1:21" x14ac:dyDescent="0.35">
      <c r="A97" s="16"/>
      <c r="B97" s="28" t="s">
        <v>56</v>
      </c>
      <c r="C97" s="277"/>
      <c r="D97" s="277"/>
      <c r="E97" s="277"/>
      <c r="F97" s="277">
        <v>45.485300000000002</v>
      </c>
      <c r="G97" s="276"/>
      <c r="H97" s="276"/>
      <c r="I97" s="276"/>
      <c r="J97" s="276"/>
      <c r="K97" s="276">
        <v>1.6900000000000002E-2</v>
      </c>
      <c r="L97" s="276">
        <v>0.67670000000000008</v>
      </c>
      <c r="M97" s="276"/>
      <c r="N97" s="276">
        <v>3.44E-2</v>
      </c>
      <c r="O97" s="276">
        <v>6.0000000000000006E-4</v>
      </c>
      <c r="P97" s="276">
        <v>5.8500000000000003E-2</v>
      </c>
      <c r="Q97" s="276"/>
      <c r="R97" s="276"/>
      <c r="S97" s="127">
        <f t="shared" si="10"/>
        <v>46.272399999999998</v>
      </c>
      <c r="T97" s="213"/>
      <c r="U97" s="172"/>
    </row>
    <row r="98" spans="1:21" x14ac:dyDescent="0.35">
      <c r="A98" s="252" t="s">
        <v>6</v>
      </c>
      <c r="B98" s="253" t="s">
        <v>57</v>
      </c>
      <c r="C98" s="277">
        <v>3.3E-3</v>
      </c>
      <c r="D98" s="277">
        <v>2.2000000000000002E-2</v>
      </c>
      <c r="E98" s="277">
        <v>0.16200000000000001</v>
      </c>
      <c r="F98" s="277">
        <v>5.3800000000000001E-2</v>
      </c>
      <c r="G98" s="408">
        <v>187.2244</v>
      </c>
      <c r="H98" s="408">
        <v>0.39030000000000004</v>
      </c>
      <c r="I98" s="408">
        <v>0.29710000000000003</v>
      </c>
      <c r="J98" s="408">
        <v>1.2122000000000002</v>
      </c>
      <c r="K98" s="408">
        <v>6.1000000000000004E-3</v>
      </c>
      <c r="L98" s="408"/>
      <c r="M98" s="408">
        <v>1.8347</v>
      </c>
      <c r="N98" s="408">
        <v>6.4060000000000006</v>
      </c>
      <c r="O98" s="408">
        <v>6.3582000000000001</v>
      </c>
      <c r="P98" s="408">
        <v>2.6720000000000002</v>
      </c>
      <c r="Q98" s="408">
        <v>2.8500000000000001E-2</v>
      </c>
      <c r="R98" s="407"/>
      <c r="S98" s="127">
        <f t="shared" ref="S98:S109" si="11">SUM(C98:R98)</f>
        <v>206.67060000000001</v>
      </c>
      <c r="T98" s="283"/>
      <c r="U98" s="188"/>
    </row>
    <row r="99" spans="1:21" x14ac:dyDescent="0.35">
      <c r="A99" s="252"/>
      <c r="B99" s="253" t="s">
        <v>58</v>
      </c>
      <c r="C99" s="277">
        <v>6.8000000000000005E-3</v>
      </c>
      <c r="D99" s="277">
        <v>0.1321</v>
      </c>
      <c r="E99" s="277">
        <v>3.7978000000000001</v>
      </c>
      <c r="F99" s="277"/>
      <c r="G99" s="408">
        <v>3.3399999999999999E-2</v>
      </c>
      <c r="H99" s="408">
        <v>20.401800000000001</v>
      </c>
      <c r="I99" s="408">
        <v>1.2529000000000001</v>
      </c>
      <c r="J99" s="408">
        <v>0</v>
      </c>
      <c r="K99" s="408">
        <v>1.2000000000000001E-3</v>
      </c>
      <c r="L99" s="408">
        <v>0</v>
      </c>
      <c r="M99" s="408">
        <v>1.8472000000000002</v>
      </c>
      <c r="N99" s="408">
        <v>24.178599999999999</v>
      </c>
      <c r="O99" s="408">
        <v>6.7320000000000002</v>
      </c>
      <c r="P99" s="408">
        <v>4.0640000000000001</v>
      </c>
      <c r="Q99" s="408"/>
      <c r="R99" s="407"/>
      <c r="S99" s="127">
        <f t="shared" si="11"/>
        <v>62.447800000000001</v>
      </c>
      <c r="T99" s="283"/>
      <c r="U99" s="140"/>
    </row>
    <row r="100" spans="1:21" x14ac:dyDescent="0.35">
      <c r="A100" s="252"/>
      <c r="B100" s="253" t="s">
        <v>59</v>
      </c>
      <c r="C100" s="277">
        <v>6.1400000000000003E-2</v>
      </c>
      <c r="D100" s="277">
        <v>0.5988</v>
      </c>
      <c r="E100" s="277">
        <v>1.2909000000000002</v>
      </c>
      <c r="F100" s="277">
        <v>0</v>
      </c>
      <c r="G100" s="408">
        <v>0.61860000000000004</v>
      </c>
      <c r="H100" s="408">
        <v>1.1481000000000001</v>
      </c>
      <c r="I100" s="408">
        <v>9.319700000000001</v>
      </c>
      <c r="J100" s="408">
        <v>2.75E-2</v>
      </c>
      <c r="K100" s="408">
        <v>0</v>
      </c>
      <c r="L100" s="408"/>
      <c r="M100" s="408">
        <v>6.9999999999999999E-4</v>
      </c>
      <c r="N100" s="408">
        <v>0.1164</v>
      </c>
      <c r="O100" s="408">
        <v>1.5300000000000001E-2</v>
      </c>
      <c r="P100" s="408">
        <v>5.9700000000000003E-2</v>
      </c>
      <c r="Q100" s="408"/>
      <c r="R100" s="407"/>
      <c r="S100" s="127">
        <f t="shared" si="11"/>
        <v>13.257100000000001</v>
      </c>
      <c r="T100" s="283"/>
    </row>
    <row r="101" spans="1:21" x14ac:dyDescent="0.35">
      <c r="A101" s="254" t="s">
        <v>5</v>
      </c>
      <c r="B101" s="255" t="s">
        <v>117</v>
      </c>
      <c r="C101" s="277"/>
      <c r="D101" s="277"/>
      <c r="E101" s="277"/>
      <c r="F101" s="277"/>
      <c r="G101" s="408">
        <v>1.6000000000000001E-3</v>
      </c>
      <c r="H101" s="408"/>
      <c r="I101" s="408"/>
      <c r="J101" s="408">
        <v>28.810400000000001</v>
      </c>
      <c r="K101" s="408"/>
      <c r="L101" s="408">
        <v>2.1000000000000003E-3</v>
      </c>
      <c r="M101" s="408">
        <v>0.46590000000000004</v>
      </c>
      <c r="N101" s="408">
        <v>3.3237000000000001</v>
      </c>
      <c r="O101" s="408">
        <v>1.8127</v>
      </c>
      <c r="P101" s="408">
        <v>0.753</v>
      </c>
      <c r="Q101" s="408">
        <v>9.0000000000000008E-4</v>
      </c>
      <c r="R101" s="407"/>
      <c r="S101" s="127">
        <f t="shared" si="11"/>
        <v>35.170300000000005</v>
      </c>
      <c r="T101" s="283"/>
    </row>
    <row r="102" spans="1:21" x14ac:dyDescent="0.35">
      <c r="A102" s="18" t="s">
        <v>50</v>
      </c>
      <c r="B102" s="33" t="s">
        <v>60</v>
      </c>
      <c r="C102" s="277"/>
      <c r="D102" s="277">
        <v>2.2800000000000001E-2</v>
      </c>
      <c r="E102" s="277">
        <v>0.3281</v>
      </c>
      <c r="F102" s="277">
        <v>1.0492000000000001</v>
      </c>
      <c r="G102" s="408">
        <v>0</v>
      </c>
      <c r="H102" s="408">
        <v>2.3E-2</v>
      </c>
      <c r="I102" s="408">
        <v>2.7800000000000002E-2</v>
      </c>
      <c r="J102" s="408">
        <v>0</v>
      </c>
      <c r="K102" s="408">
        <v>19.010899999999999</v>
      </c>
      <c r="L102" s="408">
        <v>0.55070000000000008</v>
      </c>
      <c r="M102" s="408"/>
      <c r="N102" s="408">
        <v>9.7000000000000003E-2</v>
      </c>
      <c r="O102" s="408">
        <v>2.2000000000000001E-3</v>
      </c>
      <c r="P102" s="408"/>
      <c r="Q102" s="408">
        <v>4.0000000000000002E-4</v>
      </c>
      <c r="R102" s="407"/>
      <c r="S102" s="127">
        <f t="shared" si="11"/>
        <v>21.112099999999998</v>
      </c>
      <c r="T102" s="283"/>
    </row>
    <row r="103" spans="1:21" ht="21" x14ac:dyDescent="0.35">
      <c r="A103" s="18"/>
      <c r="B103" s="33" t="s">
        <v>61</v>
      </c>
      <c r="C103" s="277"/>
      <c r="D103" s="277"/>
      <c r="E103" s="277">
        <v>0</v>
      </c>
      <c r="F103" s="277">
        <v>1.5355000000000001</v>
      </c>
      <c r="G103" s="408"/>
      <c r="H103" s="408">
        <v>1E-4</v>
      </c>
      <c r="I103" s="408"/>
      <c r="J103" s="408">
        <v>0</v>
      </c>
      <c r="K103" s="408">
        <v>6.2100000000000002E-2</v>
      </c>
      <c r="L103" s="408">
        <v>2.3343000000000003</v>
      </c>
      <c r="M103" s="408">
        <v>2.52E-2</v>
      </c>
      <c r="N103" s="408">
        <v>0.36330000000000001</v>
      </c>
      <c r="O103" s="408">
        <v>0.37780000000000002</v>
      </c>
      <c r="P103" s="408">
        <v>0.10790000000000001</v>
      </c>
      <c r="Q103" s="408"/>
      <c r="R103" s="407"/>
      <c r="S103" s="127">
        <f t="shared" si="11"/>
        <v>4.8061999999999996</v>
      </c>
      <c r="T103" s="283"/>
    </row>
    <row r="104" spans="1:21" x14ac:dyDescent="0.35">
      <c r="A104" s="19" t="s">
        <v>51</v>
      </c>
      <c r="B104" s="34" t="s">
        <v>62</v>
      </c>
      <c r="C104" s="277"/>
      <c r="D104" s="277"/>
      <c r="E104" s="277"/>
      <c r="F104" s="277"/>
      <c r="G104" s="408"/>
      <c r="H104" s="408"/>
      <c r="I104" s="408"/>
      <c r="J104" s="408"/>
      <c r="K104" s="408"/>
      <c r="L104" s="408"/>
      <c r="M104" s="408">
        <v>26.717600000000001</v>
      </c>
      <c r="N104" s="408"/>
      <c r="O104" s="408"/>
      <c r="P104" s="408"/>
      <c r="Q104" s="408"/>
      <c r="R104" s="407"/>
      <c r="S104" s="127">
        <f t="shared" si="11"/>
        <v>26.717600000000001</v>
      </c>
      <c r="T104" s="283"/>
    </row>
    <row r="105" spans="1:21" x14ac:dyDescent="0.35">
      <c r="A105" s="19"/>
      <c r="B105" s="34" t="s">
        <v>63</v>
      </c>
      <c r="C105" s="277"/>
      <c r="D105" s="277"/>
      <c r="E105" s="277"/>
      <c r="F105" s="277"/>
      <c r="G105" s="408"/>
      <c r="H105" s="408"/>
      <c r="I105" s="408"/>
      <c r="J105" s="408"/>
      <c r="K105" s="408"/>
      <c r="L105" s="408"/>
      <c r="M105" s="408"/>
      <c r="N105" s="408">
        <v>149.69540000000001</v>
      </c>
      <c r="O105" s="408"/>
      <c r="P105" s="408"/>
      <c r="Q105" s="408"/>
      <c r="R105" s="407"/>
      <c r="S105" s="127">
        <f t="shared" si="11"/>
        <v>149.69540000000001</v>
      </c>
      <c r="T105" s="283"/>
    </row>
    <row r="106" spans="1:21" x14ac:dyDescent="0.35">
      <c r="A106" s="19"/>
      <c r="B106" s="34" t="s">
        <v>64</v>
      </c>
      <c r="C106" s="277"/>
      <c r="D106" s="277"/>
      <c r="E106" s="277"/>
      <c r="F106" s="277"/>
      <c r="G106" s="408"/>
      <c r="H106" s="408"/>
      <c r="I106" s="408"/>
      <c r="J106" s="408"/>
      <c r="K106" s="408"/>
      <c r="L106" s="408"/>
      <c r="M106" s="408"/>
      <c r="N106" s="408"/>
      <c r="O106" s="408">
        <v>504.70060000000001</v>
      </c>
      <c r="P106" s="408"/>
      <c r="Q106" s="408"/>
      <c r="R106" s="407"/>
      <c r="S106" s="127">
        <f t="shared" si="11"/>
        <v>504.70060000000001</v>
      </c>
      <c r="T106" s="283"/>
    </row>
    <row r="107" spans="1:21" x14ac:dyDescent="0.35">
      <c r="A107" s="19"/>
      <c r="B107" s="34" t="s">
        <v>65</v>
      </c>
      <c r="C107" s="277"/>
      <c r="D107" s="277"/>
      <c r="E107" s="277"/>
      <c r="F107" s="277"/>
      <c r="G107" s="408"/>
      <c r="H107" s="408"/>
      <c r="I107" s="408"/>
      <c r="J107" s="408"/>
      <c r="K107" s="408"/>
      <c r="L107" s="408"/>
      <c r="M107" s="408">
        <v>2.5454000000000003</v>
      </c>
      <c r="N107" s="408">
        <v>16.507904544472598</v>
      </c>
      <c r="O107" s="408">
        <v>4.4994000000000005</v>
      </c>
      <c r="P107" s="408">
        <v>756.14830000000006</v>
      </c>
      <c r="Q107" s="408"/>
      <c r="R107" s="407"/>
      <c r="S107" s="127">
        <f t="shared" si="11"/>
        <v>779.70100454447265</v>
      </c>
      <c r="T107" s="283"/>
    </row>
    <row r="108" spans="1:21" x14ac:dyDescent="0.35">
      <c r="A108" s="20" t="s">
        <v>52</v>
      </c>
      <c r="B108" s="35" t="s">
        <v>66</v>
      </c>
      <c r="C108" s="277"/>
      <c r="D108" s="277"/>
      <c r="E108" s="277">
        <v>1.1000000000000001E-3</v>
      </c>
      <c r="F108" s="277"/>
      <c r="G108" s="408"/>
      <c r="H108" s="408"/>
      <c r="I108" s="408"/>
      <c r="J108" s="408"/>
      <c r="K108" s="408">
        <v>3.0000000000000003E-4</v>
      </c>
      <c r="L108" s="408"/>
      <c r="M108" s="408">
        <v>0.128</v>
      </c>
      <c r="N108" s="408">
        <v>0.3014</v>
      </c>
      <c r="O108" s="408">
        <v>8.0100000000000005E-2</v>
      </c>
      <c r="P108" s="408">
        <v>0.38350000000000001</v>
      </c>
      <c r="Q108" s="408">
        <v>1.6375000000000002</v>
      </c>
      <c r="R108" s="407"/>
      <c r="S108" s="127">
        <f t="shared" si="11"/>
        <v>2.5319000000000003</v>
      </c>
      <c r="T108" s="119" t="s">
        <v>77</v>
      </c>
    </row>
    <row r="109" spans="1:21" x14ac:dyDescent="0.35">
      <c r="A109" s="20"/>
      <c r="B109" s="35" t="s">
        <v>68</v>
      </c>
      <c r="C109" s="277"/>
      <c r="D109" s="277"/>
      <c r="E109" s="277"/>
      <c r="F109" s="277"/>
      <c r="G109" s="408"/>
      <c r="H109" s="408"/>
      <c r="I109" s="408"/>
      <c r="J109" s="408"/>
      <c r="K109" s="408"/>
      <c r="L109" s="408"/>
      <c r="M109" s="408"/>
      <c r="N109" s="408"/>
      <c r="O109" s="408"/>
      <c r="P109" s="408"/>
      <c r="Q109" s="408"/>
      <c r="R109" s="407"/>
      <c r="S109" s="127">
        <f t="shared" si="11"/>
        <v>0</v>
      </c>
      <c r="T109" s="119">
        <f>Intro!B22</f>
        <v>2011</v>
      </c>
    </row>
    <row r="110" spans="1:21" x14ac:dyDescent="0.35">
      <c r="A110" s="124" t="s">
        <v>92</v>
      </c>
      <c r="B110" s="124"/>
      <c r="C110" s="127">
        <f>SUM(C94:C109)</f>
        <v>3.8215000000000003</v>
      </c>
      <c r="D110" s="127">
        <f t="shared" ref="D110:R110" si="12">SUM(D94:D109)</f>
        <v>81.119100000000003</v>
      </c>
      <c r="E110" s="127">
        <f t="shared" si="12"/>
        <v>348.93310000000002</v>
      </c>
      <c r="F110" s="127">
        <f t="shared" si="12"/>
        <v>48.123800000000003</v>
      </c>
      <c r="G110" s="127">
        <f t="shared" si="12"/>
        <v>187.9913</v>
      </c>
      <c r="H110" s="127">
        <f t="shared" si="12"/>
        <v>47.692900000000009</v>
      </c>
      <c r="I110" s="127">
        <f t="shared" si="12"/>
        <v>12.696999999999999</v>
      </c>
      <c r="J110" s="127">
        <f t="shared" si="12"/>
        <v>30.072100000000002</v>
      </c>
      <c r="K110" s="127">
        <f t="shared" si="12"/>
        <v>19.1556</v>
      </c>
      <c r="L110" s="127">
        <f t="shared" si="12"/>
        <v>3.5639000000000003</v>
      </c>
      <c r="M110" s="127">
        <f t="shared" si="12"/>
        <v>36.455100000000002</v>
      </c>
      <c r="N110" s="127">
        <f t="shared" si="12"/>
        <v>218.56760454447263</v>
      </c>
      <c r="O110" s="127">
        <f t="shared" si="12"/>
        <v>544.19170000000008</v>
      </c>
      <c r="P110" s="127">
        <f t="shared" si="12"/>
        <v>772.79940000000011</v>
      </c>
      <c r="Q110" s="127">
        <f t="shared" si="12"/>
        <v>1.6673000000000002</v>
      </c>
      <c r="R110" s="127">
        <f t="shared" si="12"/>
        <v>0</v>
      </c>
      <c r="S110" s="127"/>
      <c r="T110" s="284">
        <f>SUM(C110:R110)</f>
        <v>2356.8514045444731</v>
      </c>
    </row>
    <row r="111" spans="1:21" x14ac:dyDescent="0.35">
      <c r="A111" s="214"/>
      <c r="B111" s="214"/>
      <c r="C111" s="215"/>
      <c r="D111" s="215"/>
      <c r="E111" s="215"/>
      <c r="F111" s="215"/>
      <c r="G111" s="283"/>
      <c r="H111" s="283"/>
      <c r="I111" s="283"/>
      <c r="J111" s="283"/>
      <c r="K111" s="283"/>
      <c r="L111" s="283"/>
      <c r="M111" s="283"/>
      <c r="N111" s="283"/>
      <c r="O111" s="283"/>
      <c r="P111" s="283"/>
      <c r="Q111" s="283" t="s">
        <v>77</v>
      </c>
      <c r="R111" s="119">
        <f>Intro!B23</f>
        <v>2016</v>
      </c>
      <c r="S111" s="284">
        <f>SUM(S94:S109)</f>
        <v>2356.8514045444726</v>
      </c>
      <c r="T111" s="283"/>
    </row>
    <row r="112" spans="1:21" x14ac:dyDescent="0.35">
      <c r="G112" s="283"/>
      <c r="H112" s="283"/>
      <c r="I112" s="283"/>
      <c r="J112" s="283"/>
      <c r="K112" s="283"/>
      <c r="L112" s="283"/>
      <c r="M112" s="283"/>
      <c r="N112" s="283"/>
      <c r="O112" s="283"/>
      <c r="P112" s="283"/>
      <c r="Q112" s="283"/>
      <c r="R112" s="283"/>
      <c r="S112" s="119"/>
    </row>
    <row r="113" spans="1:10" x14ac:dyDescent="0.35">
      <c r="A113" s="2" t="s">
        <v>447</v>
      </c>
    </row>
    <row r="114" spans="1:10" x14ac:dyDescent="0.35">
      <c r="A114" s="288" t="s">
        <v>399</v>
      </c>
      <c r="C114" s="82"/>
    </row>
    <row r="115" spans="1:10" x14ac:dyDescent="0.35">
      <c r="A115" s="288"/>
      <c r="C115" s="82"/>
    </row>
    <row r="116" spans="1:10" x14ac:dyDescent="0.35">
      <c r="B116">
        <f>Intro!B23</f>
        <v>2016</v>
      </c>
      <c r="C116" s="2" t="s">
        <v>198</v>
      </c>
    </row>
    <row r="117" spans="1:10" x14ac:dyDescent="0.35">
      <c r="A117" s="180">
        <f>Intro!B22</f>
        <v>2011</v>
      </c>
      <c r="B117" s="16" t="s">
        <v>4</v>
      </c>
      <c r="C117" s="252" t="s">
        <v>6</v>
      </c>
      <c r="D117" s="257" t="s">
        <v>5</v>
      </c>
      <c r="E117" s="18" t="s">
        <v>50</v>
      </c>
      <c r="F117" s="19" t="s">
        <v>51</v>
      </c>
      <c r="G117" s="20" t="s">
        <v>52</v>
      </c>
      <c r="H117" s="287" t="s">
        <v>92</v>
      </c>
    </row>
    <row r="118" spans="1:10" x14ac:dyDescent="0.35">
      <c r="A118" s="16" t="s">
        <v>4</v>
      </c>
      <c r="B118" s="276"/>
      <c r="C118" s="291"/>
      <c r="D118" s="291"/>
      <c r="E118" s="291"/>
      <c r="F118" s="278"/>
      <c r="G118" s="290"/>
      <c r="H118" s="285"/>
    </row>
    <row r="119" spans="1:10" x14ac:dyDescent="0.35">
      <c r="A119" s="252" t="s">
        <v>6</v>
      </c>
      <c r="B119" s="279"/>
      <c r="C119" s="294">
        <f>SUM(G98:I100)</f>
        <v>220.68630000000002</v>
      </c>
      <c r="D119" s="305">
        <f>SUM(J98:J100)</f>
        <v>1.2397000000000002</v>
      </c>
      <c r="E119" s="305">
        <f>SUM(K98:L100)</f>
        <v>7.3000000000000009E-3</v>
      </c>
      <c r="F119" s="303">
        <f>SUM(M98:P100)</f>
        <v>54.284800000000004</v>
      </c>
      <c r="G119" s="298">
        <f>SUM(Q98:R100)</f>
        <v>2.8500000000000001E-2</v>
      </c>
      <c r="H119" s="176">
        <f t="shared" ref="H119:H123" si="13">SUM(B119:G119)</f>
        <v>276.2466</v>
      </c>
    </row>
    <row r="120" spans="1:10" x14ac:dyDescent="0.35">
      <c r="A120" s="254" t="s">
        <v>5</v>
      </c>
      <c r="B120" s="277"/>
      <c r="C120" s="306">
        <f>SUM(G101:I101)</f>
        <v>1.6000000000000001E-3</v>
      </c>
      <c r="D120" s="308">
        <f>J101</f>
        <v>28.810400000000001</v>
      </c>
      <c r="E120" s="308">
        <f>SUM(K101:L101)</f>
        <v>2.1000000000000003E-3</v>
      </c>
      <c r="F120" s="308">
        <f>SUM(M101:P101)</f>
        <v>6.3552999999999997</v>
      </c>
      <c r="G120" s="304">
        <f>SUM(Q101:R101)</f>
        <v>9.0000000000000008E-4</v>
      </c>
      <c r="H120" s="175">
        <f t="shared" si="13"/>
        <v>35.170299999999997</v>
      </c>
    </row>
    <row r="121" spans="1:10" x14ac:dyDescent="0.35">
      <c r="A121" s="18" t="s">
        <v>50</v>
      </c>
      <c r="B121" s="279"/>
      <c r="C121" s="295">
        <f>SUM(G102:I103)</f>
        <v>5.0900000000000001E-2</v>
      </c>
      <c r="D121" s="303">
        <f>SUM(J102:J103)</f>
        <v>0</v>
      </c>
      <c r="E121" s="305">
        <f>SUM(K102:L103)</f>
        <v>21.957999999999998</v>
      </c>
      <c r="F121" s="303">
        <f>SUM(M102:P103)</f>
        <v>0.97340000000000004</v>
      </c>
      <c r="G121" s="299">
        <f>SUM(Q102:R103)</f>
        <v>4.0000000000000002E-4</v>
      </c>
      <c r="H121" s="176">
        <f t="shared" si="13"/>
        <v>22.982699999999998</v>
      </c>
    </row>
    <row r="122" spans="1:10" x14ac:dyDescent="0.35">
      <c r="A122" s="19" t="s">
        <v>51</v>
      </c>
      <c r="B122" s="276"/>
      <c r="C122" s="301">
        <f>SUM(G104:I107)</f>
        <v>0</v>
      </c>
      <c r="D122" s="303">
        <f>SUM(J104:J107)</f>
        <v>0</v>
      </c>
      <c r="E122" s="303">
        <f>SUM(K104:L107)</f>
        <v>0</v>
      </c>
      <c r="F122" s="305">
        <f>SUM(M104:P107)</f>
        <v>1460.8146045444728</v>
      </c>
      <c r="G122" s="302">
        <f>SUM(Q104:R107)</f>
        <v>0</v>
      </c>
      <c r="H122" s="175">
        <f t="shared" si="13"/>
        <v>1460.8146045444728</v>
      </c>
    </row>
    <row r="123" spans="1:10" x14ac:dyDescent="0.35">
      <c r="A123" s="20" t="s">
        <v>52</v>
      </c>
      <c r="B123" s="278"/>
      <c r="C123" s="307">
        <f>SUM(G108:I109)</f>
        <v>0</v>
      </c>
      <c r="D123" s="310">
        <f>SUM(J108:J109)</f>
        <v>0</v>
      </c>
      <c r="E123" s="310">
        <f>SUM(K108:L109)</f>
        <v>3.0000000000000003E-4</v>
      </c>
      <c r="F123" s="309">
        <f>SUM(M108:P109)</f>
        <v>0.89300000000000002</v>
      </c>
      <c r="G123" s="300">
        <f>SUM(Q108:R109)</f>
        <v>1.6375000000000002</v>
      </c>
      <c r="H123" s="175">
        <f t="shared" si="13"/>
        <v>2.5308000000000002</v>
      </c>
      <c r="I123" s="39"/>
    </row>
    <row r="124" spans="1:10" x14ac:dyDescent="0.35">
      <c r="A124" s="124" t="s">
        <v>92</v>
      </c>
      <c r="B124" s="274"/>
      <c r="C124" s="174">
        <f t="shared" ref="C124" si="14">SUM(C118:C123)</f>
        <v>220.73880000000003</v>
      </c>
      <c r="D124" s="174">
        <f t="shared" ref="D124" si="15">SUM(D118:D123)</f>
        <v>30.0501</v>
      </c>
      <c r="E124" s="174">
        <f t="shared" ref="E124" si="16">SUM(E118:E123)</f>
        <v>21.967699999999997</v>
      </c>
      <c r="F124" s="174">
        <f t="shared" ref="F124" si="17">SUM(F118:F123)</f>
        <v>1523.3211045444727</v>
      </c>
      <c r="G124" s="174">
        <f t="shared" ref="G124" si="18">SUM(G118:G123)</f>
        <v>1.6673000000000002</v>
      </c>
      <c r="H124" s="216">
        <f t="shared" ref="H124" si="19">SUM(H118:H123)</f>
        <v>1797.7450045444727</v>
      </c>
      <c r="J124" s="39"/>
    </row>
    <row r="125" spans="1:10" x14ac:dyDescent="0.35">
      <c r="G125" s="39"/>
      <c r="H125" s="140"/>
      <c r="I125" s="13"/>
    </row>
    <row r="126" spans="1:10" x14ac:dyDescent="0.35">
      <c r="H126" s="140"/>
      <c r="I126" s="13"/>
    </row>
  </sheetData>
  <mergeCells count="3">
    <mergeCell ref="A5:G5"/>
    <mergeCell ref="A6:G6"/>
    <mergeCell ref="A7:G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87CC-7742-45B4-B489-FA1F315E6CC1}">
  <dimension ref="A1:Y461"/>
  <sheetViews>
    <sheetView topLeftCell="A214" workbookViewId="0">
      <selection activeCell="A255" sqref="A255"/>
    </sheetView>
  </sheetViews>
  <sheetFormatPr defaultRowHeight="14.5" x14ac:dyDescent="0.35"/>
  <cols>
    <col min="1" max="1" width="28.453125" customWidth="1"/>
    <col min="2" max="2" width="14.26953125" customWidth="1"/>
    <col min="3" max="4" width="15.1796875" customWidth="1"/>
    <col min="5" max="5" width="14.81640625" customWidth="1"/>
    <col min="6" max="6" width="15.26953125" customWidth="1"/>
    <col min="7" max="7" width="15.54296875" customWidth="1"/>
    <col min="8" max="9" width="14.54296875" customWidth="1"/>
    <col min="10" max="10" width="14.1796875" customWidth="1"/>
    <col min="11" max="11" width="14.453125" customWidth="1"/>
    <col min="12" max="12" width="13.453125" customWidth="1"/>
    <col min="13" max="13" width="13.81640625" customWidth="1"/>
  </cols>
  <sheetData>
    <row r="1" spans="1:8" ht="18.5" x14ac:dyDescent="0.45">
      <c r="A1" s="1" t="s">
        <v>248</v>
      </c>
    </row>
    <row r="2" spans="1:8" x14ac:dyDescent="0.35">
      <c r="A2" s="313" t="s">
        <v>251</v>
      </c>
    </row>
    <row r="4" spans="1:8" x14ac:dyDescent="0.35">
      <c r="A4" s="185" t="s">
        <v>397</v>
      </c>
      <c r="B4" s="624" t="s">
        <v>411</v>
      </c>
      <c r="C4" s="624"/>
      <c r="D4" s="624"/>
      <c r="E4" s="133" t="s">
        <v>128</v>
      </c>
      <c r="H4" s="513" t="s">
        <v>472</v>
      </c>
    </row>
    <row r="6" spans="1:8" x14ac:dyDescent="0.35">
      <c r="A6" s="492" t="s">
        <v>408</v>
      </c>
      <c r="B6" s="491"/>
      <c r="C6" s="491"/>
      <c r="D6" s="491"/>
      <c r="E6" s="491"/>
      <c r="F6" s="491"/>
      <c r="G6" s="491"/>
      <c r="H6" s="441"/>
    </row>
    <row r="7" spans="1:8" x14ac:dyDescent="0.35">
      <c r="A7" s="625" t="s">
        <v>448</v>
      </c>
      <c r="B7" s="625"/>
      <c r="C7" s="625"/>
      <c r="D7" s="625"/>
      <c r="E7" s="625"/>
      <c r="F7" s="625"/>
      <c r="G7" s="625"/>
      <c r="H7" s="511" t="s">
        <v>566</v>
      </c>
    </row>
    <row r="8" spans="1:8" x14ac:dyDescent="0.35">
      <c r="A8" s="625" t="s">
        <v>449</v>
      </c>
      <c r="B8" s="625"/>
      <c r="C8" s="625"/>
      <c r="D8" s="625"/>
      <c r="E8" s="625"/>
      <c r="F8" s="625"/>
      <c r="G8" s="625"/>
      <c r="H8" s="512" t="s">
        <v>566</v>
      </c>
    </row>
    <row r="9" spans="1:8" ht="14.15" customHeight="1" x14ac:dyDescent="0.35">
      <c r="A9" s="622" t="s">
        <v>589</v>
      </c>
      <c r="B9" s="622"/>
      <c r="C9" s="622"/>
      <c r="D9" s="622"/>
      <c r="E9" s="622"/>
      <c r="F9" s="622"/>
      <c r="G9" s="622"/>
      <c r="H9" s="511" t="s">
        <v>566</v>
      </c>
    </row>
    <row r="10" spans="1:8" x14ac:dyDescent="0.35">
      <c r="A10" s="13" t="s">
        <v>517</v>
      </c>
      <c r="H10" s="537" t="s">
        <v>566</v>
      </c>
    </row>
    <row r="11" spans="1:8" x14ac:dyDescent="0.35">
      <c r="A11" s="13" t="s">
        <v>572</v>
      </c>
      <c r="H11" s="537" t="s">
        <v>566</v>
      </c>
    </row>
    <row r="13" spans="1:8" x14ac:dyDescent="0.35">
      <c r="A13" s="492" t="s">
        <v>407</v>
      </c>
    </row>
    <row r="14" spans="1:8" ht="28" customHeight="1" x14ac:dyDescent="0.35">
      <c r="A14" s="622" t="s">
        <v>474</v>
      </c>
      <c r="B14" s="622"/>
      <c r="C14" s="622"/>
      <c r="D14" s="622"/>
      <c r="E14" s="622"/>
      <c r="F14" s="622"/>
      <c r="G14" s="622"/>
      <c r="H14" s="512"/>
    </row>
    <row r="15" spans="1:8" ht="28.5" customHeight="1" x14ac:dyDescent="0.35">
      <c r="A15" s="622" t="s">
        <v>477</v>
      </c>
      <c r="B15" s="622"/>
      <c r="C15" s="622"/>
      <c r="D15" s="622"/>
      <c r="E15" s="622"/>
      <c r="F15" s="622"/>
      <c r="G15" s="622"/>
      <c r="H15" s="512"/>
    </row>
    <row r="16" spans="1:8" ht="30" customHeight="1" x14ac:dyDescent="0.35">
      <c r="A16" s="622" t="s">
        <v>478</v>
      </c>
      <c r="B16" s="622"/>
      <c r="C16" s="622"/>
      <c r="D16" s="622"/>
      <c r="E16" s="622"/>
      <c r="F16" s="622"/>
      <c r="G16" s="622"/>
      <c r="H16" s="512"/>
    </row>
    <row r="17" spans="1:25" ht="31.5" customHeight="1" x14ac:dyDescent="0.35">
      <c r="A17" s="622" t="s">
        <v>473</v>
      </c>
      <c r="B17" s="622"/>
      <c r="C17" s="622"/>
      <c r="D17" s="622"/>
      <c r="E17" s="622"/>
      <c r="F17" s="622"/>
      <c r="G17" s="622"/>
      <c r="H17" s="512"/>
    </row>
    <row r="18" spans="1:25" ht="29.5" customHeight="1" x14ac:dyDescent="0.35">
      <c r="A18" s="622" t="s">
        <v>475</v>
      </c>
      <c r="B18" s="622"/>
      <c r="C18" s="622"/>
      <c r="D18" s="622"/>
      <c r="E18" s="622"/>
      <c r="F18" s="622"/>
      <c r="G18" s="622"/>
      <c r="H18" s="512"/>
    </row>
    <row r="19" spans="1:25" x14ac:dyDescent="0.35">
      <c r="A19" s="625" t="s">
        <v>476</v>
      </c>
      <c r="B19" s="625"/>
      <c r="C19" s="625"/>
      <c r="D19" s="625"/>
      <c r="E19" s="625"/>
      <c r="F19" s="625"/>
      <c r="G19" s="625"/>
      <c r="H19" s="512"/>
    </row>
    <row r="20" spans="1:25" x14ac:dyDescent="0.35">
      <c r="A20" s="625" t="s">
        <v>479</v>
      </c>
      <c r="B20" s="625"/>
      <c r="C20" s="625"/>
      <c r="D20" s="625"/>
      <c r="E20" s="625"/>
      <c r="F20" s="625"/>
      <c r="G20" s="625"/>
      <c r="H20" s="512"/>
    </row>
    <row r="21" spans="1:25" x14ac:dyDescent="0.35">
      <c r="A21" s="625" t="s">
        <v>480</v>
      </c>
      <c r="B21" s="625"/>
      <c r="C21" s="625"/>
      <c r="D21" s="625"/>
      <c r="E21" s="625"/>
      <c r="F21" s="625"/>
      <c r="G21" s="625"/>
      <c r="H21" s="512"/>
    </row>
    <row r="22" spans="1:25" x14ac:dyDescent="0.35">
      <c r="A22" s="491"/>
      <c r="B22" s="491"/>
      <c r="C22" s="491"/>
      <c r="D22" s="491"/>
      <c r="E22" s="491"/>
      <c r="F22" s="491"/>
      <c r="G22" s="491"/>
      <c r="H22" s="441"/>
    </row>
    <row r="23" spans="1:25" x14ac:dyDescent="0.35">
      <c r="A23" s="491"/>
      <c r="B23" s="491"/>
      <c r="C23" s="491"/>
      <c r="D23" s="491"/>
      <c r="E23" s="491"/>
      <c r="F23" s="491"/>
      <c r="G23" s="491"/>
      <c r="H23" s="441"/>
    </row>
    <row r="24" spans="1:25" x14ac:dyDescent="0.35">
      <c r="A24" s="2" t="s">
        <v>450</v>
      </c>
    </row>
    <row r="25" spans="1:25" x14ac:dyDescent="0.35">
      <c r="A25" s="2"/>
    </row>
    <row r="26" spans="1:25" x14ac:dyDescent="0.35">
      <c r="A26" s="7" t="s">
        <v>403</v>
      </c>
    </row>
    <row r="27" spans="1:25" x14ac:dyDescent="0.35">
      <c r="A27" t="s">
        <v>404</v>
      </c>
    </row>
    <row r="28" spans="1:25" x14ac:dyDescent="0.35">
      <c r="C28" s="2" t="s">
        <v>402</v>
      </c>
    </row>
    <row r="29" spans="1:25" x14ac:dyDescent="0.35">
      <c r="B29" s="15">
        <f>'1. Stratification'!B24</f>
        <v>2016</v>
      </c>
      <c r="C29" s="16" t="s">
        <v>4</v>
      </c>
      <c r="D29" s="16"/>
      <c r="E29" s="16"/>
      <c r="F29" s="16"/>
      <c r="G29" s="252" t="s">
        <v>6</v>
      </c>
      <c r="H29" s="252"/>
      <c r="I29" s="252"/>
      <c r="J29" s="257" t="s">
        <v>5</v>
      </c>
      <c r="K29" s="18" t="s">
        <v>50</v>
      </c>
      <c r="L29" s="18"/>
      <c r="M29" s="19" t="s">
        <v>51</v>
      </c>
      <c r="N29" s="19"/>
      <c r="O29" s="19"/>
      <c r="P29" s="19"/>
      <c r="Q29" s="20" t="s">
        <v>52</v>
      </c>
      <c r="R29" s="20"/>
      <c r="T29" s="120" t="s">
        <v>126</v>
      </c>
      <c r="U29" s="628"/>
      <c r="V29" s="628"/>
      <c r="W29" s="628"/>
      <c r="X29" s="628"/>
      <c r="Y29" s="628"/>
    </row>
    <row r="30" spans="1:25" ht="32" thickBot="1" x14ac:dyDescent="0.4">
      <c r="A30" s="22">
        <f>'1. Stratification'!A25</f>
        <v>2011</v>
      </c>
      <c r="B30" s="21"/>
      <c r="C30" s="23" t="s">
        <v>53</v>
      </c>
      <c r="D30" s="23" t="s">
        <v>54</v>
      </c>
      <c r="E30" s="23" t="s">
        <v>55</v>
      </c>
      <c r="F30" s="23" t="s">
        <v>56</v>
      </c>
      <c r="G30" s="256" t="s">
        <v>57</v>
      </c>
      <c r="H30" s="256" t="s">
        <v>58</v>
      </c>
      <c r="I30" s="256" t="s">
        <v>59</v>
      </c>
      <c r="J30" s="258" t="s">
        <v>117</v>
      </c>
      <c r="K30" s="25" t="s">
        <v>60</v>
      </c>
      <c r="L30" s="25" t="s">
        <v>61</v>
      </c>
      <c r="M30" s="26" t="s">
        <v>62</v>
      </c>
      <c r="N30" s="26" t="s">
        <v>63</v>
      </c>
      <c r="O30" s="26" t="s">
        <v>64</v>
      </c>
      <c r="P30" s="26" t="s">
        <v>65</v>
      </c>
      <c r="Q30" s="27" t="s">
        <v>66</v>
      </c>
      <c r="R30" s="27" t="s">
        <v>67</v>
      </c>
      <c r="T30" s="101" t="s">
        <v>99</v>
      </c>
      <c r="U30" s="100"/>
      <c r="V30" s="100"/>
      <c r="W30" s="100"/>
      <c r="X30" s="100"/>
      <c r="Y30" s="100"/>
    </row>
    <row r="31" spans="1:25" ht="15" thickTop="1" x14ac:dyDescent="0.35">
      <c r="A31" s="16" t="s">
        <v>4</v>
      </c>
      <c r="B31" s="28" t="s">
        <v>53</v>
      </c>
      <c r="C31" s="260">
        <f t="shared" ref="C31:F34" si="0">C54</f>
        <v>-0.43674913145005123</v>
      </c>
      <c r="D31" s="260">
        <f t="shared" si="0"/>
        <v>-1.0005620657250256</v>
      </c>
      <c r="E31" s="260">
        <f t="shared" si="0"/>
        <v>-1.0949895898901298</v>
      </c>
      <c r="F31" s="260">
        <f t="shared" si="0"/>
        <v>-1.1958745657250256</v>
      </c>
      <c r="G31" s="263">
        <f>D430</f>
        <v>93.555535955592092</v>
      </c>
      <c r="H31" s="263">
        <f t="shared" ref="H31:R31" si="1">E430</f>
        <v>93.555535955592092</v>
      </c>
      <c r="I31" s="263">
        <f t="shared" si="1"/>
        <v>93.555535955592092</v>
      </c>
      <c r="J31" s="263">
        <f t="shared" si="1"/>
        <v>118.30011256374237</v>
      </c>
      <c r="K31" s="263">
        <f t="shared" si="1"/>
        <v>84.785867155969058</v>
      </c>
      <c r="L31" s="263">
        <f t="shared" si="1"/>
        <v>84.785867155969058</v>
      </c>
      <c r="M31" s="263">
        <f t="shared" si="1"/>
        <v>129.80547132436618</v>
      </c>
      <c r="N31" s="263">
        <f t="shared" si="1"/>
        <v>129.80547132436618</v>
      </c>
      <c r="O31" s="263">
        <f t="shared" si="1"/>
        <v>129.80547132436618</v>
      </c>
      <c r="P31" s="263">
        <f t="shared" si="1"/>
        <v>129.80547132436618</v>
      </c>
      <c r="Q31" s="263">
        <f t="shared" si="1"/>
        <v>186.71601612043418</v>
      </c>
      <c r="R31" s="263">
        <f t="shared" si="1"/>
        <v>186.71601612043418</v>
      </c>
      <c r="T31" s="72">
        <f>G180</f>
        <v>-0.43674913145005123</v>
      </c>
      <c r="U31" s="11"/>
      <c r="V31" s="11"/>
      <c r="W31" s="11"/>
      <c r="X31" s="11"/>
      <c r="Y31" s="11"/>
    </row>
    <row r="32" spans="1:25" x14ac:dyDescent="0.35">
      <c r="A32" s="16"/>
      <c r="B32" s="28" t="s">
        <v>54</v>
      </c>
      <c r="C32" s="260">
        <f t="shared" si="0"/>
        <v>-1.0005620657250256</v>
      </c>
      <c r="D32" s="260">
        <f t="shared" si="0"/>
        <v>-1.5643750000000001</v>
      </c>
      <c r="E32" s="260">
        <f t="shared" si="0"/>
        <v>-1.6588025241651043</v>
      </c>
      <c r="F32" s="260">
        <f t="shared" si="0"/>
        <v>-1.7596875000000001</v>
      </c>
      <c r="G32" s="263">
        <f t="shared" ref="G32:R32" si="2">D431</f>
        <v>88.781196425870704</v>
      </c>
      <c r="H32" s="263">
        <f t="shared" si="2"/>
        <v>88.781196425870704</v>
      </c>
      <c r="I32" s="263">
        <f t="shared" si="2"/>
        <v>88.781196425870704</v>
      </c>
      <c r="J32" s="263">
        <f t="shared" si="2"/>
        <v>109.62708435020548</v>
      </c>
      <c r="K32" s="263">
        <f t="shared" si="2"/>
        <v>81.865335288720402</v>
      </c>
      <c r="L32" s="263">
        <f t="shared" si="2"/>
        <v>81.865335288720402</v>
      </c>
      <c r="M32" s="263">
        <f t="shared" si="2"/>
        <v>119.10574285094322</v>
      </c>
      <c r="N32" s="263">
        <f t="shared" si="2"/>
        <v>119.10574285094322</v>
      </c>
      <c r="O32" s="263">
        <f t="shared" si="2"/>
        <v>119.10574285094322</v>
      </c>
      <c r="P32" s="263">
        <f t="shared" si="2"/>
        <v>119.10574285094322</v>
      </c>
      <c r="Q32" s="263">
        <f t="shared" si="2"/>
        <v>168.04005916331519</v>
      </c>
      <c r="R32" s="263">
        <f t="shared" si="2"/>
        <v>168.04005916331519</v>
      </c>
      <c r="T32" s="73">
        <f>G181</f>
        <v>-1.5643750000000001</v>
      </c>
      <c r="U32" s="11"/>
      <c r="V32" s="11"/>
      <c r="W32" s="11"/>
      <c r="X32" s="11"/>
      <c r="Y32" s="11"/>
    </row>
    <row r="33" spans="1:25" x14ac:dyDescent="0.35">
      <c r="A33" s="16"/>
      <c r="B33" s="28" t="s">
        <v>55</v>
      </c>
      <c r="C33" s="260">
        <f t="shared" si="0"/>
        <v>-1.0949895898901298</v>
      </c>
      <c r="D33" s="260">
        <f t="shared" si="0"/>
        <v>-1.6588025241651043</v>
      </c>
      <c r="E33" s="260">
        <f t="shared" si="0"/>
        <v>-1.7532300483302086</v>
      </c>
      <c r="F33" s="260">
        <f t="shared" si="0"/>
        <v>-1.8541150241651043</v>
      </c>
      <c r="G33" s="263">
        <f t="shared" ref="G33:R33" si="3">D432</f>
        <v>110.70660996875577</v>
      </c>
      <c r="H33" s="263">
        <f t="shared" si="3"/>
        <v>110.70660996875577</v>
      </c>
      <c r="I33" s="263">
        <f t="shared" si="3"/>
        <v>110.70660996875577</v>
      </c>
      <c r="J33" s="263">
        <f t="shared" si="3"/>
        <v>134.12127700682069</v>
      </c>
      <c r="K33" s="263">
        <f t="shared" si="3"/>
        <v>99.763286317629394</v>
      </c>
      <c r="L33" s="263">
        <f t="shared" si="3"/>
        <v>99.763286317629394</v>
      </c>
      <c r="M33" s="263">
        <f t="shared" si="3"/>
        <v>146.20697777854465</v>
      </c>
      <c r="N33" s="263">
        <f t="shared" si="3"/>
        <v>146.20697777854465</v>
      </c>
      <c r="O33" s="263">
        <f t="shared" si="3"/>
        <v>146.20697777854465</v>
      </c>
      <c r="P33" s="263">
        <f t="shared" si="3"/>
        <v>146.20697777854465</v>
      </c>
      <c r="Q33" s="263">
        <f t="shared" si="3"/>
        <v>194.50957664965557</v>
      </c>
      <c r="R33" s="263">
        <f t="shared" si="3"/>
        <v>194.50957664965557</v>
      </c>
      <c r="T33" s="73">
        <f>G182</f>
        <v>-1.7532300483302086</v>
      </c>
      <c r="U33" s="11"/>
      <c r="V33" s="11"/>
      <c r="W33" s="11"/>
      <c r="X33" s="11"/>
      <c r="Y33" s="11"/>
    </row>
    <row r="34" spans="1:25" ht="15" thickBot="1" x14ac:dyDescent="0.4">
      <c r="A34" s="16"/>
      <c r="B34" s="28" t="s">
        <v>56</v>
      </c>
      <c r="C34" s="260">
        <f t="shared" si="0"/>
        <v>-1.1958745657250256</v>
      </c>
      <c r="D34" s="260">
        <f t="shared" si="0"/>
        <v>-1.7596875000000001</v>
      </c>
      <c r="E34" s="260">
        <f t="shared" si="0"/>
        <v>-1.8541150241651043</v>
      </c>
      <c r="F34" s="260">
        <f t="shared" si="0"/>
        <v>-1.9549999999999998</v>
      </c>
      <c r="G34" s="263">
        <f t="shared" ref="G34:R34" si="4">D433</f>
        <v>80.690548869416133</v>
      </c>
      <c r="H34" s="263">
        <f t="shared" si="4"/>
        <v>80.690548869416133</v>
      </c>
      <c r="I34" s="312">
        <f t="shared" si="4"/>
        <v>80.690548869416133</v>
      </c>
      <c r="J34" s="263">
        <f t="shared" si="4"/>
        <v>109.89632115350469</v>
      </c>
      <c r="K34" s="263">
        <f t="shared" si="4"/>
        <v>73.01916299200802</v>
      </c>
      <c r="L34" s="263">
        <f t="shared" si="4"/>
        <v>73.01916299200802</v>
      </c>
      <c r="M34" s="263">
        <f t="shared" si="4"/>
        <v>122.26169495731939</v>
      </c>
      <c r="N34" s="263">
        <f t="shared" si="4"/>
        <v>122.26169495731939</v>
      </c>
      <c r="O34" s="263">
        <f t="shared" si="4"/>
        <v>122.26169495731939</v>
      </c>
      <c r="P34" s="263">
        <f t="shared" si="4"/>
        <v>122.26169495731939</v>
      </c>
      <c r="Q34" s="263">
        <f t="shared" si="4"/>
        <v>195.05402332596481</v>
      </c>
      <c r="R34" s="263">
        <f t="shared" si="4"/>
        <v>195.05402332596481</v>
      </c>
      <c r="T34" s="74">
        <f>G183</f>
        <v>-1.9549999999999998</v>
      </c>
      <c r="U34" s="11"/>
      <c r="V34" s="11"/>
      <c r="W34" s="11"/>
      <c r="X34" s="11"/>
      <c r="Y34" s="11"/>
    </row>
    <row r="35" spans="1:25" ht="15" thickTop="1" x14ac:dyDescent="0.35">
      <c r="A35" s="252" t="s">
        <v>6</v>
      </c>
      <c r="B35" s="253" t="s">
        <v>57</v>
      </c>
      <c r="C35" s="261">
        <f>E$446</f>
        <v>-2.3825122451304246</v>
      </c>
      <c r="D35" s="261">
        <f>E$447</f>
        <v>-2.7449999999999997</v>
      </c>
      <c r="E35" s="261">
        <f>E$448</f>
        <v>-3.1899840768094698</v>
      </c>
      <c r="F35" s="262">
        <f>E$449</f>
        <v>-2.3400000000000003</v>
      </c>
      <c r="G35" s="314"/>
      <c r="H35" s="315"/>
      <c r="I35" s="316"/>
      <c r="J35" s="317"/>
      <c r="K35" s="318"/>
      <c r="L35" s="319"/>
      <c r="M35" s="320"/>
      <c r="N35" s="320"/>
      <c r="O35" s="320"/>
      <c r="P35" s="320"/>
      <c r="Q35" s="321"/>
      <c r="R35" s="322"/>
    </row>
    <row r="36" spans="1:25" x14ac:dyDescent="0.35">
      <c r="A36" s="252"/>
      <c r="B36" s="253" t="s">
        <v>58</v>
      </c>
      <c r="C36" s="261">
        <f t="shared" ref="C36:C46" si="5">E$446</f>
        <v>-2.3825122451304246</v>
      </c>
      <c r="D36" s="261">
        <f t="shared" ref="D36:D46" si="6">E$447</f>
        <v>-2.7449999999999997</v>
      </c>
      <c r="E36" s="261">
        <f t="shared" ref="E36:E46" si="7">E$448</f>
        <v>-3.1899840768094698</v>
      </c>
      <c r="F36" s="262">
        <f t="shared" ref="F36:F46" si="8">E$449</f>
        <v>-2.3400000000000003</v>
      </c>
      <c r="G36" s="323"/>
      <c r="H36" s="324"/>
      <c r="I36" s="325"/>
      <c r="J36" s="326"/>
      <c r="K36" s="325"/>
      <c r="L36" s="327"/>
      <c r="M36" s="328"/>
      <c r="N36" s="325"/>
      <c r="O36" s="329"/>
      <c r="P36" s="327"/>
      <c r="Q36" s="330"/>
      <c r="R36" s="330"/>
    </row>
    <row r="37" spans="1:25" x14ac:dyDescent="0.35">
      <c r="A37" s="252"/>
      <c r="B37" s="253" t="s">
        <v>59</v>
      </c>
      <c r="C37" s="261">
        <f t="shared" si="5"/>
        <v>-2.3825122451304246</v>
      </c>
      <c r="D37" s="261">
        <f t="shared" si="6"/>
        <v>-2.7449999999999997</v>
      </c>
      <c r="E37" s="261">
        <f t="shared" si="7"/>
        <v>-3.1899840768094698</v>
      </c>
      <c r="F37" s="262">
        <f t="shared" si="8"/>
        <v>-2.3400000000000003</v>
      </c>
      <c r="G37" s="331"/>
      <c r="H37" s="328"/>
      <c r="I37" s="332"/>
      <c r="J37" s="333"/>
      <c r="K37" s="318"/>
      <c r="L37" s="334"/>
      <c r="M37" s="335"/>
      <c r="N37" s="318"/>
      <c r="O37" s="336"/>
      <c r="P37" s="337"/>
      <c r="Q37" s="338"/>
      <c r="R37" s="330"/>
    </row>
    <row r="38" spans="1:25" x14ac:dyDescent="0.35">
      <c r="A38" s="254" t="s">
        <v>5</v>
      </c>
      <c r="B38" s="255" t="s">
        <v>117</v>
      </c>
      <c r="C38" s="261">
        <f t="shared" si="5"/>
        <v>-2.3825122451304246</v>
      </c>
      <c r="D38" s="261">
        <f t="shared" si="6"/>
        <v>-2.7449999999999997</v>
      </c>
      <c r="E38" s="261">
        <f t="shared" si="7"/>
        <v>-3.1899840768094698</v>
      </c>
      <c r="F38" s="262">
        <f t="shared" si="8"/>
        <v>-2.3400000000000003</v>
      </c>
      <c r="G38" s="323"/>
      <c r="H38" s="328"/>
      <c r="I38" s="339"/>
      <c r="J38" s="326"/>
      <c r="K38" s="325"/>
      <c r="L38" s="327"/>
      <c r="M38" s="328"/>
      <c r="N38" s="325"/>
      <c r="O38" s="329"/>
      <c r="P38" s="329"/>
      <c r="Q38" s="340"/>
      <c r="R38" s="330"/>
    </row>
    <row r="39" spans="1:25" x14ac:dyDescent="0.35">
      <c r="A39" s="18" t="s">
        <v>50</v>
      </c>
      <c r="B39" s="33" t="s">
        <v>60</v>
      </c>
      <c r="C39" s="261">
        <f t="shared" si="5"/>
        <v>-2.3825122451304246</v>
      </c>
      <c r="D39" s="261">
        <f t="shared" si="6"/>
        <v>-2.7449999999999997</v>
      </c>
      <c r="E39" s="261">
        <f t="shared" si="7"/>
        <v>-3.1899840768094698</v>
      </c>
      <c r="F39" s="262">
        <f t="shared" si="8"/>
        <v>-2.3400000000000003</v>
      </c>
      <c r="G39" s="341"/>
      <c r="H39" s="330"/>
      <c r="I39" s="330"/>
      <c r="J39" s="326"/>
      <c r="K39" s="339"/>
      <c r="L39" s="327"/>
      <c r="M39" s="330"/>
      <c r="N39" s="342"/>
      <c r="O39" s="330"/>
      <c r="P39" s="329"/>
      <c r="Q39" s="336"/>
      <c r="R39" s="330"/>
    </row>
    <row r="40" spans="1:25" ht="21" x14ac:dyDescent="0.35">
      <c r="A40" s="18"/>
      <c r="B40" s="33" t="s">
        <v>61</v>
      </c>
      <c r="C40" s="261">
        <f t="shared" si="5"/>
        <v>-2.3825122451304246</v>
      </c>
      <c r="D40" s="261">
        <f t="shared" si="6"/>
        <v>-2.7449999999999997</v>
      </c>
      <c r="E40" s="261">
        <f t="shared" si="7"/>
        <v>-3.1899840768094698</v>
      </c>
      <c r="F40" s="262">
        <f t="shared" si="8"/>
        <v>-2.3400000000000003</v>
      </c>
      <c r="G40" s="331"/>
      <c r="H40" s="343" t="s">
        <v>176</v>
      </c>
      <c r="I40" s="330"/>
      <c r="J40" s="326"/>
      <c r="K40" s="325"/>
      <c r="L40" s="344"/>
      <c r="M40" s="325"/>
      <c r="N40" s="327"/>
      <c r="O40" s="325"/>
      <c r="P40" s="345"/>
      <c r="Q40" s="329"/>
      <c r="R40" s="330"/>
    </row>
    <row r="41" spans="1:25" x14ac:dyDescent="0.35">
      <c r="A41" s="19" t="s">
        <v>51</v>
      </c>
      <c r="B41" s="34" t="s">
        <v>62</v>
      </c>
      <c r="C41" s="261">
        <f t="shared" si="5"/>
        <v>-2.3825122451304246</v>
      </c>
      <c r="D41" s="261">
        <f t="shared" si="6"/>
        <v>-2.7449999999999997</v>
      </c>
      <c r="E41" s="261">
        <f t="shared" si="7"/>
        <v>-3.1899840768094698</v>
      </c>
      <c r="F41" s="262">
        <f t="shared" si="8"/>
        <v>-2.3400000000000003</v>
      </c>
      <c r="G41" s="341"/>
      <c r="H41" s="346"/>
      <c r="I41" s="346"/>
      <c r="J41" s="333"/>
      <c r="K41" s="346"/>
      <c r="L41" s="347"/>
      <c r="M41" s="318"/>
      <c r="N41" s="347"/>
      <c r="O41" s="346"/>
      <c r="P41" s="338"/>
      <c r="Q41" s="338"/>
      <c r="R41" s="346"/>
    </row>
    <row r="42" spans="1:25" x14ac:dyDescent="0.35">
      <c r="A42" s="19"/>
      <c r="B42" s="34" t="s">
        <v>63</v>
      </c>
      <c r="C42" s="261">
        <f t="shared" si="5"/>
        <v>-2.3825122451304246</v>
      </c>
      <c r="D42" s="261">
        <f t="shared" si="6"/>
        <v>-2.7449999999999997</v>
      </c>
      <c r="E42" s="261">
        <f t="shared" si="7"/>
        <v>-3.1899840768094698</v>
      </c>
      <c r="F42" s="262">
        <f t="shared" si="8"/>
        <v>-2.3400000000000003</v>
      </c>
      <c r="G42" s="341"/>
      <c r="H42" s="330"/>
      <c r="I42" s="330"/>
      <c r="J42" s="326"/>
      <c r="K42" s="330"/>
      <c r="L42" s="342"/>
      <c r="M42" s="325"/>
      <c r="N42" s="344"/>
      <c r="O42" s="330"/>
      <c r="P42" s="340"/>
      <c r="Q42" s="340"/>
      <c r="R42" s="330"/>
    </row>
    <row r="43" spans="1:25" x14ac:dyDescent="0.35">
      <c r="A43" s="19"/>
      <c r="B43" s="34" t="s">
        <v>64</v>
      </c>
      <c r="C43" s="261">
        <f t="shared" si="5"/>
        <v>-2.3825122451304246</v>
      </c>
      <c r="D43" s="261">
        <f t="shared" si="6"/>
        <v>-2.7449999999999997</v>
      </c>
      <c r="E43" s="261">
        <f t="shared" si="7"/>
        <v>-3.1899840768094698</v>
      </c>
      <c r="F43" s="262">
        <f t="shared" si="8"/>
        <v>-2.3400000000000003</v>
      </c>
      <c r="G43" s="348"/>
      <c r="H43" s="330"/>
      <c r="I43" s="346"/>
      <c r="J43" s="333"/>
      <c r="K43" s="346"/>
      <c r="L43" s="347"/>
      <c r="M43" s="318"/>
      <c r="N43" s="334"/>
      <c r="O43" s="332"/>
      <c r="P43" s="338"/>
      <c r="Q43" s="338"/>
      <c r="R43" s="330"/>
    </row>
    <row r="44" spans="1:25" x14ac:dyDescent="0.35">
      <c r="A44" s="19"/>
      <c r="B44" s="34" t="s">
        <v>65</v>
      </c>
      <c r="C44" s="261">
        <f t="shared" si="5"/>
        <v>-2.3825122451304246</v>
      </c>
      <c r="D44" s="261">
        <f t="shared" si="6"/>
        <v>-2.7449999999999997</v>
      </c>
      <c r="E44" s="261">
        <f t="shared" si="7"/>
        <v>-3.1899840768094698</v>
      </c>
      <c r="F44" s="262">
        <f t="shared" si="8"/>
        <v>-2.3400000000000003</v>
      </c>
      <c r="G44" s="348"/>
      <c r="H44" s="330"/>
      <c r="I44" s="330"/>
      <c r="J44" s="326"/>
      <c r="K44" s="330"/>
      <c r="L44" s="342"/>
      <c r="M44" s="325"/>
      <c r="N44" s="327"/>
      <c r="O44" s="325"/>
      <c r="P44" s="349"/>
      <c r="Q44" s="340"/>
      <c r="R44" s="346"/>
    </row>
    <row r="45" spans="1:25" x14ac:dyDescent="0.35">
      <c r="A45" s="20" t="s">
        <v>52</v>
      </c>
      <c r="B45" s="35" t="s">
        <v>66</v>
      </c>
      <c r="C45" s="261">
        <f t="shared" si="5"/>
        <v>-2.3825122451304246</v>
      </c>
      <c r="D45" s="261">
        <f t="shared" si="6"/>
        <v>-2.7449999999999997</v>
      </c>
      <c r="E45" s="261">
        <f t="shared" si="7"/>
        <v>-3.1899840768094698</v>
      </c>
      <c r="F45" s="262">
        <f t="shared" si="8"/>
        <v>-2.3400000000000003</v>
      </c>
      <c r="G45" s="348"/>
      <c r="H45" s="325"/>
      <c r="I45" s="325"/>
      <c r="J45" s="326"/>
      <c r="K45" s="325"/>
      <c r="L45" s="327"/>
      <c r="M45" s="330"/>
      <c r="N45" s="327"/>
      <c r="O45" s="325"/>
      <c r="P45" s="329"/>
      <c r="Q45" s="349"/>
      <c r="R45" s="330"/>
    </row>
    <row r="46" spans="1:25" x14ac:dyDescent="0.35">
      <c r="A46" s="20"/>
      <c r="B46" s="35" t="s">
        <v>68</v>
      </c>
      <c r="C46" s="261">
        <f t="shared" si="5"/>
        <v>-2.3825122451304246</v>
      </c>
      <c r="D46" s="261">
        <f t="shared" si="6"/>
        <v>-2.7449999999999997</v>
      </c>
      <c r="E46" s="261">
        <f t="shared" si="7"/>
        <v>-3.1899840768094698</v>
      </c>
      <c r="F46" s="262">
        <f t="shared" si="8"/>
        <v>-2.3400000000000003</v>
      </c>
      <c r="G46" s="341"/>
      <c r="H46" s="330"/>
      <c r="I46" s="330"/>
      <c r="J46" s="326"/>
      <c r="K46" s="330"/>
      <c r="L46" s="342"/>
      <c r="M46" s="330"/>
      <c r="N46" s="342"/>
      <c r="O46" s="330"/>
      <c r="P46" s="340"/>
      <c r="Q46" s="340"/>
      <c r="R46" s="325"/>
    </row>
    <row r="47" spans="1:25" x14ac:dyDescent="0.35">
      <c r="A47" s="434"/>
      <c r="B47" s="435"/>
      <c r="G47" s="11"/>
      <c r="H47" s="11"/>
      <c r="I47" s="11"/>
      <c r="J47" s="11"/>
      <c r="K47" s="11"/>
      <c r="L47" s="11"/>
      <c r="M47" s="11"/>
      <c r="N47" s="11"/>
      <c r="O47" s="11"/>
      <c r="P47" s="11"/>
      <c r="Q47" s="11"/>
      <c r="R47" s="11"/>
      <c r="T47" s="11"/>
    </row>
    <row r="48" spans="1:25" x14ac:dyDescent="0.35">
      <c r="A48" s="438"/>
      <c r="B48" s="102"/>
      <c r="G48" s="11"/>
      <c r="H48" s="11"/>
      <c r="I48" s="11"/>
      <c r="J48" s="11"/>
      <c r="K48" s="11"/>
      <c r="L48" s="11"/>
      <c r="M48" s="11"/>
      <c r="N48" s="11"/>
      <c r="O48" s="11"/>
      <c r="P48" s="11"/>
      <c r="Q48" s="11"/>
      <c r="R48" s="11"/>
      <c r="T48" s="11"/>
    </row>
    <row r="49" spans="1:20" ht="18.5" x14ac:dyDescent="0.45">
      <c r="A49" s="64" t="s">
        <v>110</v>
      </c>
      <c r="B49" s="102"/>
      <c r="G49" s="11"/>
      <c r="H49" s="11"/>
      <c r="I49" s="11"/>
      <c r="J49" s="11"/>
      <c r="K49" s="11"/>
      <c r="L49" s="11"/>
      <c r="M49" s="11"/>
      <c r="N49" s="11"/>
      <c r="O49" s="11"/>
      <c r="P49" s="11"/>
      <c r="Q49" s="11"/>
      <c r="R49" s="11"/>
      <c r="T49" s="11"/>
    </row>
    <row r="50" spans="1:20" x14ac:dyDescent="0.35">
      <c r="A50" s="11"/>
      <c r="B50" s="102"/>
      <c r="C50" s="58"/>
      <c r="D50" s="58"/>
      <c r="E50" s="58"/>
      <c r="F50" s="58"/>
      <c r="G50" s="11"/>
      <c r="H50" s="11"/>
      <c r="I50" s="11"/>
      <c r="J50" s="11"/>
      <c r="K50" s="11"/>
      <c r="L50" s="11"/>
      <c r="M50" s="11"/>
      <c r="N50" s="11"/>
      <c r="O50" s="11"/>
      <c r="P50" s="11"/>
      <c r="Q50" s="11"/>
      <c r="R50" s="11"/>
      <c r="S50" s="11"/>
      <c r="T50" s="11"/>
    </row>
    <row r="51" spans="1:20" x14ac:dyDescent="0.35">
      <c r="A51" s="2" t="s">
        <v>451</v>
      </c>
      <c r="D51" s="2"/>
      <c r="E51" s="82" t="s">
        <v>401</v>
      </c>
    </row>
    <row r="53" spans="1:20" x14ac:dyDescent="0.35">
      <c r="A53" s="56"/>
      <c r="B53" s="57" t="s">
        <v>87</v>
      </c>
      <c r="C53" s="57" t="s">
        <v>53</v>
      </c>
      <c r="D53" s="57" t="s">
        <v>54</v>
      </c>
      <c r="E53" s="57" t="s">
        <v>55</v>
      </c>
      <c r="F53" s="57" t="s">
        <v>50</v>
      </c>
      <c r="G53" s="57"/>
      <c r="H53" s="137"/>
    </row>
    <row r="54" spans="1:20" x14ac:dyDescent="0.35">
      <c r="A54" s="57" t="s">
        <v>88</v>
      </c>
      <c r="B54" s="57" t="s">
        <v>53</v>
      </c>
      <c r="C54" s="62">
        <f>H121</f>
        <v>-0.43674913145005123</v>
      </c>
      <c r="D54" s="62">
        <f>(C54+D55)/2</f>
        <v>-1.0005620657250256</v>
      </c>
      <c r="E54" s="62">
        <f>(C54+E56)/2</f>
        <v>-1.0949895898901298</v>
      </c>
      <c r="F54" s="62">
        <f>(C54+F57)/2</f>
        <v>-1.1958745657250256</v>
      </c>
      <c r="G54" s="58"/>
      <c r="H54" s="58"/>
      <c r="I54" s="58"/>
      <c r="J54" s="58"/>
      <c r="K54" s="58"/>
    </row>
    <row r="55" spans="1:20" x14ac:dyDescent="0.35">
      <c r="A55" s="56"/>
      <c r="B55" s="57" t="s">
        <v>54</v>
      </c>
      <c r="C55" s="62">
        <f>(C54+D55)/2</f>
        <v>-1.0005620657250256</v>
      </c>
      <c r="D55" s="62">
        <f>H122</f>
        <v>-1.5643750000000001</v>
      </c>
      <c r="E55" s="62">
        <f>(D55+E56)/2</f>
        <v>-1.6588025241651043</v>
      </c>
      <c r="F55" s="62">
        <f>(D55+F57)/2</f>
        <v>-1.7596875000000001</v>
      </c>
      <c r="G55" s="58"/>
      <c r="H55" s="58"/>
      <c r="I55" s="58"/>
      <c r="J55" s="58"/>
      <c r="K55" s="58"/>
    </row>
    <row r="56" spans="1:20" x14ac:dyDescent="0.35">
      <c r="A56" s="56"/>
      <c r="B56" s="57" t="s">
        <v>55</v>
      </c>
      <c r="C56" s="62">
        <f>(C54+E56)/2</f>
        <v>-1.0949895898901298</v>
      </c>
      <c r="D56" s="62">
        <f>(D55+E56)/2</f>
        <v>-1.6588025241651043</v>
      </c>
      <c r="E56" s="62">
        <f>H123</f>
        <v>-1.7532300483302086</v>
      </c>
      <c r="F56" s="62">
        <f>(E56+F57)/2</f>
        <v>-1.8541150241651043</v>
      </c>
      <c r="G56" s="58"/>
      <c r="H56" s="58"/>
      <c r="I56" s="58"/>
      <c r="J56" s="58"/>
      <c r="K56" s="58"/>
    </row>
    <row r="57" spans="1:20" x14ac:dyDescent="0.35">
      <c r="A57" s="56"/>
      <c r="B57" s="105" t="s">
        <v>50</v>
      </c>
      <c r="C57" s="62">
        <f>(C54+F57)/2</f>
        <v>-1.1958745657250256</v>
      </c>
      <c r="D57" s="62">
        <f>(D55+F57)/2</f>
        <v>-1.7596875000000001</v>
      </c>
      <c r="E57" s="62">
        <f>(E56+F57)/2</f>
        <v>-1.8541150241651043</v>
      </c>
      <c r="F57" s="62">
        <f>H124</f>
        <v>-1.9549999999999998</v>
      </c>
      <c r="G57" s="58"/>
      <c r="H57" s="58"/>
      <c r="I57" s="58"/>
      <c r="J57" s="58"/>
      <c r="K57" s="58"/>
    </row>
    <row r="58" spans="1:20" x14ac:dyDescent="0.35">
      <c r="A58" s="56"/>
      <c r="B58" s="103"/>
      <c r="C58" s="104"/>
      <c r="D58" s="104"/>
      <c r="E58" s="104"/>
      <c r="F58" s="104"/>
      <c r="G58" s="56"/>
    </row>
    <row r="60" spans="1:20" x14ac:dyDescent="0.35">
      <c r="A60" s="2" t="s">
        <v>452</v>
      </c>
      <c r="D60" s="2"/>
      <c r="E60" s="82" t="s">
        <v>400</v>
      </c>
    </row>
    <row r="61" spans="1:20" x14ac:dyDescent="0.35">
      <c r="E61" s="82"/>
    </row>
    <row r="62" spans="1:20" x14ac:dyDescent="0.35">
      <c r="A62" s="56"/>
      <c r="B62" s="57" t="s">
        <v>87</v>
      </c>
      <c r="C62" s="57" t="s">
        <v>53</v>
      </c>
      <c r="D62" s="57" t="s">
        <v>54</v>
      </c>
      <c r="E62" s="57" t="s">
        <v>55</v>
      </c>
      <c r="F62" s="57" t="s">
        <v>50</v>
      </c>
      <c r="G62" s="57"/>
      <c r="H62" s="137"/>
    </row>
    <row r="63" spans="1:20" x14ac:dyDescent="0.35">
      <c r="A63" s="57" t="s">
        <v>88</v>
      </c>
      <c r="B63" s="57" t="s">
        <v>53</v>
      </c>
      <c r="C63" s="62">
        <f>G180</f>
        <v>-0.43674913145005123</v>
      </c>
      <c r="D63" s="62">
        <f>(C63+D64)/2</f>
        <v>-1.0005620657250256</v>
      </c>
      <c r="E63" s="62">
        <f>(C63+E65)/2</f>
        <v>-1.0949895898901298</v>
      </c>
      <c r="F63" s="62">
        <f>(C63+F66)/2</f>
        <v>-1.1958745657250256</v>
      </c>
      <c r="G63" s="58"/>
      <c r="H63" s="58"/>
      <c r="I63" s="58"/>
      <c r="J63" s="58"/>
      <c r="K63" s="58"/>
    </row>
    <row r="64" spans="1:20" x14ac:dyDescent="0.35">
      <c r="A64" s="56"/>
      <c r="B64" s="57" t="s">
        <v>54</v>
      </c>
      <c r="C64" s="62">
        <f>(C63+D64)/2</f>
        <v>-1.0005620657250256</v>
      </c>
      <c r="D64" s="62">
        <f>G181</f>
        <v>-1.5643750000000001</v>
      </c>
      <c r="E64" s="62">
        <f>(D64+E65)/2</f>
        <v>-1.6588025241651043</v>
      </c>
      <c r="F64" s="62">
        <f>(D64+F66)/2</f>
        <v>-1.7596875000000001</v>
      </c>
      <c r="G64" s="58"/>
      <c r="H64" s="58"/>
      <c r="I64" s="58"/>
      <c r="J64" s="58"/>
      <c r="K64" s="58"/>
    </row>
    <row r="65" spans="1:11" x14ac:dyDescent="0.35">
      <c r="A65" s="56"/>
      <c r="B65" s="57" t="s">
        <v>55</v>
      </c>
      <c r="C65" s="62">
        <f>(C63+E65)/2</f>
        <v>-1.0949895898901298</v>
      </c>
      <c r="D65" s="62">
        <f>(D64+E65)/2</f>
        <v>-1.6588025241651043</v>
      </c>
      <c r="E65" s="62">
        <f>G182</f>
        <v>-1.7532300483302086</v>
      </c>
      <c r="F65" s="62">
        <f>(E65+F66)/2</f>
        <v>-1.8541150241651043</v>
      </c>
      <c r="G65" s="58"/>
      <c r="H65" s="58"/>
      <c r="I65" s="58"/>
      <c r="J65" s="58"/>
      <c r="K65" s="58"/>
    </row>
    <row r="66" spans="1:11" x14ac:dyDescent="0.35">
      <c r="A66" s="56"/>
      <c r="B66" s="57" t="s">
        <v>50</v>
      </c>
      <c r="C66" s="62">
        <f>(C63+F66)/2</f>
        <v>-1.1958745657250256</v>
      </c>
      <c r="D66" s="62">
        <f>(D64+F66)/2</f>
        <v>-1.7596875000000001</v>
      </c>
      <c r="E66" s="62">
        <f>(E65+F66)/2</f>
        <v>-1.8541150241651043</v>
      </c>
      <c r="F66" s="62">
        <f>G183</f>
        <v>-1.9549999999999998</v>
      </c>
      <c r="G66" s="58"/>
      <c r="H66" s="58"/>
      <c r="I66" s="58"/>
      <c r="J66" s="58"/>
      <c r="K66" s="58"/>
    </row>
    <row r="67" spans="1:11" x14ac:dyDescent="0.35">
      <c r="A67" s="56"/>
      <c r="B67" s="57"/>
      <c r="C67" s="58"/>
      <c r="D67" s="58"/>
      <c r="E67" s="58"/>
      <c r="F67" s="58"/>
      <c r="G67" s="56"/>
    </row>
    <row r="68" spans="1:11" x14ac:dyDescent="0.35">
      <c r="H68" s="507" t="s">
        <v>510</v>
      </c>
    </row>
    <row r="69" spans="1:11" x14ac:dyDescent="0.35">
      <c r="A69" s="186" t="s">
        <v>453</v>
      </c>
      <c r="B69" s="102"/>
      <c r="C69" s="58"/>
      <c r="D69" s="84"/>
      <c r="E69" s="58"/>
      <c r="F69" s="58"/>
      <c r="H69" t="s">
        <v>383</v>
      </c>
    </row>
    <row r="70" spans="1:11" ht="15" thickBot="1" x14ac:dyDescent="0.4">
      <c r="B70" s="11"/>
      <c r="C70" s="247" t="s">
        <v>141</v>
      </c>
      <c r="D70" s="247" t="s">
        <v>259</v>
      </c>
      <c r="E70" s="247" t="s">
        <v>261</v>
      </c>
      <c r="F70" s="247" t="s">
        <v>143</v>
      </c>
      <c r="G70" s="152"/>
      <c r="H70" s="456" t="s">
        <v>141</v>
      </c>
      <c r="I70" s="456" t="s">
        <v>259</v>
      </c>
      <c r="J70" s="456" t="s">
        <v>261</v>
      </c>
      <c r="K70" s="456" t="s">
        <v>143</v>
      </c>
    </row>
    <row r="71" spans="1:11" ht="15" thickTop="1" x14ac:dyDescent="0.35">
      <c r="B71" s="57" t="s">
        <v>53</v>
      </c>
      <c r="C71" s="370">
        <f>C80*H71</f>
        <v>22.341210895877001</v>
      </c>
      <c r="D71" s="370">
        <f>C90*I71</f>
        <v>-16.03503457420463</v>
      </c>
      <c r="E71" s="370">
        <f>C98*J71</f>
        <v>3.5818002613686781</v>
      </c>
      <c r="F71" s="370">
        <f>C106*K71</f>
        <v>22.611287455546609</v>
      </c>
      <c r="H71" s="459">
        <v>0.5</v>
      </c>
      <c r="I71" s="460">
        <v>0.5</v>
      </c>
      <c r="J71" s="460">
        <v>0.5</v>
      </c>
      <c r="K71" s="461">
        <v>0.5</v>
      </c>
    </row>
    <row r="72" spans="1:11" x14ac:dyDescent="0.35">
      <c r="B72" s="57" t="s">
        <v>54</v>
      </c>
      <c r="C72" s="370">
        <f>D81*H72</f>
        <v>26.60530209513075</v>
      </c>
      <c r="D72" s="370">
        <f>D91*I72</f>
        <v>-25.691156357927511</v>
      </c>
      <c r="E72" s="370">
        <f>D99*J72</f>
        <v>11.831037635275493</v>
      </c>
      <c r="F72" s="370">
        <f>D107*K72</f>
        <v>38.898295835139592</v>
      </c>
      <c r="H72" s="462">
        <v>0.5</v>
      </c>
      <c r="I72" s="463">
        <v>0.5</v>
      </c>
      <c r="J72" s="463">
        <v>0.5</v>
      </c>
      <c r="K72" s="464">
        <v>0.5</v>
      </c>
    </row>
    <row r="73" spans="1:11" x14ac:dyDescent="0.35">
      <c r="B73" s="57" t="s">
        <v>55</v>
      </c>
      <c r="C73" s="370">
        <f>E82*H73</f>
        <v>32.294558285150707</v>
      </c>
      <c r="D73" s="370">
        <f>E92*I73</f>
        <v>-26.56234606465723</v>
      </c>
      <c r="E73" s="370">
        <f>E100*J73</f>
        <v>27.314762533415795</v>
      </c>
      <c r="F73" s="370">
        <f>E108*K73</f>
        <v>45.561584382757857</v>
      </c>
      <c r="H73" s="462">
        <v>0.5</v>
      </c>
      <c r="I73" s="463">
        <v>0.5</v>
      </c>
      <c r="J73" s="463">
        <v>0.5</v>
      </c>
      <c r="K73" s="464">
        <v>0.5</v>
      </c>
    </row>
    <row r="74" spans="1:11" ht="15" thickBot="1" x14ac:dyDescent="0.4">
      <c r="B74" s="57" t="s">
        <v>50</v>
      </c>
      <c r="C74" s="370">
        <f>F83*H74</f>
        <v>16.186260187629202</v>
      </c>
      <c r="D74" s="370">
        <f>F93*I74</f>
        <v>-30.484085062451992</v>
      </c>
      <c r="E74" s="370">
        <f>F101*J74</f>
        <v>-30.484085062451992</v>
      </c>
      <c r="F74" s="370">
        <f>F109*K74</f>
        <v>21.319190748754401</v>
      </c>
      <c r="H74" s="465">
        <v>0.5</v>
      </c>
      <c r="I74" s="466">
        <v>0.5</v>
      </c>
      <c r="J74" s="466">
        <v>0.5</v>
      </c>
      <c r="K74" s="467">
        <v>0.5</v>
      </c>
    </row>
    <row r="75" spans="1:11" ht="15" thickTop="1" x14ac:dyDescent="0.35">
      <c r="A75" s="11"/>
      <c r="B75" s="102"/>
      <c r="C75" s="58"/>
      <c r="D75" s="58"/>
      <c r="E75" s="58"/>
      <c r="F75" s="58"/>
    </row>
    <row r="77" spans="1:11" x14ac:dyDescent="0.35">
      <c r="A77" s="2" t="s">
        <v>454</v>
      </c>
      <c r="D77" s="2" t="s">
        <v>107</v>
      </c>
      <c r="G77" s="82"/>
    </row>
    <row r="79" spans="1:11" x14ac:dyDescent="0.35">
      <c r="A79" s="56"/>
      <c r="B79" s="57" t="s">
        <v>87</v>
      </c>
      <c r="C79" s="57" t="s">
        <v>53</v>
      </c>
      <c r="D79" s="57" t="s">
        <v>54</v>
      </c>
      <c r="E79" s="57" t="s">
        <v>55</v>
      </c>
      <c r="F79" s="57" t="s">
        <v>50</v>
      </c>
      <c r="G79" s="57"/>
    </row>
    <row r="80" spans="1:11" x14ac:dyDescent="0.35">
      <c r="A80" s="57" t="s">
        <v>88</v>
      </c>
      <c r="B80" s="57" t="s">
        <v>53</v>
      </c>
      <c r="C80" s="107">
        <f>H217</f>
        <v>44.682421791754003</v>
      </c>
      <c r="D80" s="107">
        <f>(C80+D81)/2</f>
        <v>48.946512991007751</v>
      </c>
      <c r="E80" s="107">
        <f>(C80+E82)/2</f>
        <v>54.635769181027712</v>
      </c>
      <c r="F80" s="107">
        <f>(C80+F83)/2</f>
        <v>38.5274710835062</v>
      </c>
      <c r="G80" s="106"/>
    </row>
    <row r="81" spans="1:7" x14ac:dyDescent="0.35">
      <c r="A81" s="56"/>
      <c r="B81" s="57" t="s">
        <v>54</v>
      </c>
      <c r="C81" s="107">
        <f>(C80+D81)/2</f>
        <v>48.946512991007751</v>
      </c>
      <c r="D81" s="107">
        <f>H218</f>
        <v>53.210604190261499</v>
      </c>
      <c r="E81" s="107">
        <f>(D81+E82)/2</f>
        <v>58.899860380281453</v>
      </c>
      <c r="F81" s="107">
        <f>(D81+F83)/2</f>
        <v>42.791562282759955</v>
      </c>
      <c r="G81" s="106"/>
    </row>
    <row r="82" spans="1:7" x14ac:dyDescent="0.35">
      <c r="A82" s="56"/>
      <c r="B82" s="57" t="s">
        <v>55</v>
      </c>
      <c r="C82" s="107">
        <f>(C80+E82)/2</f>
        <v>54.635769181027712</v>
      </c>
      <c r="D82" s="107">
        <f>(D81+E82)/2</f>
        <v>58.899860380281453</v>
      </c>
      <c r="E82" s="107">
        <f>H219</f>
        <v>64.589116570301414</v>
      </c>
      <c r="F82" s="107">
        <f>(E82+F83)/2</f>
        <v>48.480818472779909</v>
      </c>
      <c r="G82" s="106"/>
    </row>
    <row r="83" spans="1:7" x14ac:dyDescent="0.35">
      <c r="A83" s="56"/>
      <c r="B83" s="57" t="s">
        <v>50</v>
      </c>
      <c r="C83" s="107">
        <f>(C80+F83)/2</f>
        <v>38.5274710835062</v>
      </c>
      <c r="D83" s="107">
        <f>(D81+F83)/2</f>
        <v>42.791562282759955</v>
      </c>
      <c r="E83" s="107">
        <f>(E82+F83)/2</f>
        <v>48.480818472779909</v>
      </c>
      <c r="F83" s="107">
        <f>H220</f>
        <v>32.372520375258404</v>
      </c>
      <c r="G83" s="106"/>
    </row>
    <row r="84" spans="1:7" x14ac:dyDescent="0.35">
      <c r="A84" s="56"/>
      <c r="B84" s="103"/>
      <c r="C84" s="106"/>
      <c r="D84" s="106"/>
      <c r="E84" s="106"/>
      <c r="F84" s="106"/>
      <c r="G84" s="56"/>
    </row>
    <row r="85" spans="1:7" x14ac:dyDescent="0.35">
      <c r="A85" s="56"/>
      <c r="B85" s="57"/>
      <c r="C85" s="58"/>
      <c r="D85" s="58"/>
      <c r="E85" s="58"/>
      <c r="F85" s="58"/>
      <c r="G85" s="56"/>
    </row>
    <row r="86" spans="1:7" x14ac:dyDescent="0.35">
      <c r="A86" s="2" t="s">
        <v>455</v>
      </c>
      <c r="D86" s="2" t="s">
        <v>108</v>
      </c>
    </row>
    <row r="87" spans="1:7" x14ac:dyDescent="0.35">
      <c r="D87" s="82" t="s">
        <v>106</v>
      </c>
    </row>
    <row r="88" spans="1:7" x14ac:dyDescent="0.35">
      <c r="D88" s="82"/>
    </row>
    <row r="89" spans="1:7" x14ac:dyDescent="0.35">
      <c r="A89" s="56"/>
      <c r="B89" s="57" t="s">
        <v>87</v>
      </c>
      <c r="C89" s="57" t="s">
        <v>53</v>
      </c>
      <c r="D89" s="57" t="s">
        <v>54</v>
      </c>
      <c r="E89" s="57" t="s">
        <v>55</v>
      </c>
      <c r="F89" s="57" t="s">
        <v>50</v>
      </c>
      <c r="G89" s="57"/>
    </row>
    <row r="90" spans="1:7" x14ac:dyDescent="0.35">
      <c r="A90" s="57" t="s">
        <v>88</v>
      </c>
      <c r="B90" s="57" t="s">
        <v>53</v>
      </c>
      <c r="C90" s="107">
        <f>H254</f>
        <v>-32.07006914840926</v>
      </c>
      <c r="D90" s="107">
        <f>(C90+D91)/2</f>
        <v>-41.726190932132141</v>
      </c>
      <c r="E90" s="107">
        <f>(C90+E92)/2</f>
        <v>-42.597380638861864</v>
      </c>
      <c r="F90" s="107">
        <f>(C90+F93)/2</f>
        <v>-46.519119636656626</v>
      </c>
      <c r="G90" s="106"/>
    </row>
    <row r="91" spans="1:7" x14ac:dyDescent="0.35">
      <c r="A91" s="56"/>
      <c r="B91" s="57" t="s">
        <v>54</v>
      </c>
      <c r="C91" s="107">
        <f>(C90+D91)/2</f>
        <v>-41.726190932132141</v>
      </c>
      <c r="D91" s="107">
        <f>H255</f>
        <v>-51.382312715855022</v>
      </c>
      <c r="E91" s="107">
        <f>(D91+E92)/2</f>
        <v>-52.253502422584745</v>
      </c>
      <c r="F91" s="107">
        <f>(D91+F93)/2</f>
        <v>-56.175241420379507</v>
      </c>
      <c r="G91" s="106"/>
    </row>
    <row r="92" spans="1:7" x14ac:dyDescent="0.35">
      <c r="A92" s="56"/>
      <c r="B92" s="57" t="s">
        <v>55</v>
      </c>
      <c r="C92" s="107">
        <f>(C90+E92)/2</f>
        <v>-42.597380638861864</v>
      </c>
      <c r="D92" s="107">
        <f>(D91+E92)/2</f>
        <v>-52.253502422584745</v>
      </c>
      <c r="E92" s="107">
        <f>H256</f>
        <v>-53.124692129314461</v>
      </c>
      <c r="F92" s="107">
        <f>(E92+F93)/2</f>
        <v>-57.046431127109223</v>
      </c>
      <c r="G92" s="106"/>
    </row>
    <row r="93" spans="1:7" x14ac:dyDescent="0.35">
      <c r="A93" s="56"/>
      <c r="B93" s="57" t="s">
        <v>50</v>
      </c>
      <c r="C93" s="107">
        <f>(C90+F93)/2</f>
        <v>-46.519119636656626</v>
      </c>
      <c r="D93" s="107">
        <f>(D91+F93)/2</f>
        <v>-56.175241420379507</v>
      </c>
      <c r="E93" s="107">
        <f>(E92+F93)/2</f>
        <v>-57.046431127109223</v>
      </c>
      <c r="F93" s="107">
        <f>H257</f>
        <v>-60.968170124903985</v>
      </c>
      <c r="G93" s="106"/>
    </row>
    <row r="94" spans="1:7" x14ac:dyDescent="0.35">
      <c r="A94" s="56"/>
      <c r="B94" s="57"/>
      <c r="C94" s="106"/>
      <c r="D94" s="106"/>
      <c r="E94" s="106"/>
      <c r="F94" s="106"/>
      <c r="G94" s="56"/>
    </row>
    <row r="95" spans="1:7" x14ac:dyDescent="0.35">
      <c r="A95" s="2" t="s">
        <v>456</v>
      </c>
      <c r="D95" s="2" t="s">
        <v>588</v>
      </c>
      <c r="G95" s="56"/>
    </row>
    <row r="96" spans="1:7" x14ac:dyDescent="0.35">
      <c r="D96" s="82"/>
      <c r="G96" s="56"/>
    </row>
    <row r="97" spans="1:7" x14ac:dyDescent="0.35">
      <c r="A97" s="56"/>
      <c r="B97" s="57" t="s">
        <v>87</v>
      </c>
      <c r="C97" s="57" t="s">
        <v>53</v>
      </c>
      <c r="D97" s="57" t="s">
        <v>54</v>
      </c>
      <c r="E97" s="57" t="s">
        <v>55</v>
      </c>
      <c r="F97" s="57" t="s">
        <v>50</v>
      </c>
      <c r="G97" s="56"/>
    </row>
    <row r="98" spans="1:7" x14ac:dyDescent="0.35">
      <c r="A98" s="57" t="s">
        <v>88</v>
      </c>
      <c r="B98" s="57" t="s">
        <v>53</v>
      </c>
      <c r="C98" s="107">
        <f>H291</f>
        <v>7.1636005227373563</v>
      </c>
      <c r="D98" s="107">
        <f>(C98+D99)/2</f>
        <v>15.41283789664417</v>
      </c>
      <c r="E98" s="107">
        <f>(C98+E100)/2</f>
        <v>30.896562794784472</v>
      </c>
      <c r="F98" s="107">
        <f>(C98+F101)/2</f>
        <v>-26.902284801083315</v>
      </c>
      <c r="G98" s="56"/>
    </row>
    <row r="99" spans="1:7" x14ac:dyDescent="0.35">
      <c r="A99" s="56"/>
      <c r="B99" s="57" t="s">
        <v>54</v>
      </c>
      <c r="C99" s="107">
        <f>(C98+D99)/2</f>
        <v>15.41283789664417</v>
      </c>
      <c r="D99" s="107">
        <f>H292</f>
        <v>23.662075270550986</v>
      </c>
      <c r="E99" s="107">
        <f>(D99+E100)/2</f>
        <v>39.145800168691288</v>
      </c>
      <c r="F99" s="107">
        <f>(D99+F101)/2</f>
        <v>-18.653047427176499</v>
      </c>
      <c r="G99" s="56"/>
    </row>
    <row r="100" spans="1:7" x14ac:dyDescent="0.35">
      <c r="A100" s="56"/>
      <c r="B100" s="57" t="s">
        <v>55</v>
      </c>
      <c r="C100" s="107">
        <f>(C98+E100)/2</f>
        <v>30.896562794784472</v>
      </c>
      <c r="D100" s="107">
        <f>(D99+E100)/2</f>
        <v>39.145800168691288</v>
      </c>
      <c r="E100" s="107">
        <f>H293</f>
        <v>54.62952506683159</v>
      </c>
      <c r="F100" s="107">
        <f>(E100+F101)/2</f>
        <v>-3.1693225290361973</v>
      </c>
      <c r="G100" s="56"/>
    </row>
    <row r="101" spans="1:7" x14ac:dyDescent="0.35">
      <c r="A101" s="56"/>
      <c r="B101" s="57" t="s">
        <v>50</v>
      </c>
      <c r="C101" s="107">
        <f>(C98+F101)/2</f>
        <v>-26.902284801083315</v>
      </c>
      <c r="D101" s="107">
        <f>(D99+F101)/2</f>
        <v>-18.653047427176499</v>
      </c>
      <c r="E101" s="107">
        <f>(E100+F101)/2</f>
        <v>-3.1693225290361973</v>
      </c>
      <c r="F101" s="107">
        <f>H294</f>
        <v>-60.968170124903985</v>
      </c>
      <c r="G101" s="56"/>
    </row>
    <row r="102" spans="1:7" x14ac:dyDescent="0.35">
      <c r="A102" s="56"/>
      <c r="B102" s="57"/>
      <c r="C102" s="58"/>
      <c r="D102" s="58"/>
      <c r="E102" s="58"/>
      <c r="F102" s="58"/>
      <c r="G102" s="56"/>
    </row>
    <row r="103" spans="1:7" x14ac:dyDescent="0.35">
      <c r="A103" s="2" t="s">
        <v>457</v>
      </c>
      <c r="D103" s="2" t="s">
        <v>109</v>
      </c>
    </row>
    <row r="105" spans="1:7" x14ac:dyDescent="0.35">
      <c r="A105" s="56"/>
      <c r="B105" s="57" t="s">
        <v>87</v>
      </c>
      <c r="C105" s="57" t="s">
        <v>53</v>
      </c>
      <c r="D105" s="57" t="s">
        <v>54</v>
      </c>
      <c r="E105" s="57" t="s">
        <v>55</v>
      </c>
      <c r="F105" s="57" t="s">
        <v>50</v>
      </c>
      <c r="G105" s="57"/>
    </row>
    <row r="106" spans="1:7" x14ac:dyDescent="0.35">
      <c r="A106" s="57" t="s">
        <v>88</v>
      </c>
      <c r="B106" s="57" t="s">
        <v>53</v>
      </c>
      <c r="C106" s="107">
        <f>H328</f>
        <v>45.222574911093218</v>
      </c>
      <c r="D106" s="107">
        <f>(C106+D107)/2</f>
        <v>61.509583290686201</v>
      </c>
      <c r="E106" s="107">
        <f>(C106+E108)/2</f>
        <v>68.172871838304474</v>
      </c>
      <c r="F106" s="107">
        <f>(C106+F109)/2</f>
        <v>43.930478204301011</v>
      </c>
      <c r="G106" s="106"/>
    </row>
    <row r="107" spans="1:7" x14ac:dyDescent="0.35">
      <c r="A107" s="56"/>
      <c r="B107" s="57" t="s">
        <v>54</v>
      </c>
      <c r="C107" s="107">
        <f>(C106+D107)/2</f>
        <v>61.509583290686201</v>
      </c>
      <c r="D107" s="107">
        <f>H329</f>
        <v>77.796591670279184</v>
      </c>
      <c r="E107" s="107">
        <f>(D107+E108)/2</f>
        <v>84.459880217897449</v>
      </c>
      <c r="F107" s="107">
        <f>(D107+F109)/2</f>
        <v>60.217486583893994</v>
      </c>
      <c r="G107" s="106"/>
    </row>
    <row r="108" spans="1:7" x14ac:dyDescent="0.35">
      <c r="A108" s="56"/>
      <c r="B108" s="57" t="s">
        <v>55</v>
      </c>
      <c r="C108" s="107">
        <f>(C106+E108)/2</f>
        <v>68.172871838304474</v>
      </c>
      <c r="D108" s="107">
        <f>(D107+E108)/2</f>
        <v>84.459880217897449</v>
      </c>
      <c r="E108" s="107">
        <f>H330</f>
        <v>91.123168765515715</v>
      </c>
      <c r="F108" s="107">
        <f>(E108+F109)/2</f>
        <v>66.880775131512252</v>
      </c>
      <c r="G108" s="106"/>
    </row>
    <row r="109" spans="1:7" x14ac:dyDescent="0.35">
      <c r="A109" s="56"/>
      <c r="B109" s="57" t="s">
        <v>50</v>
      </c>
      <c r="C109" s="107">
        <f>(C106+F109)/2</f>
        <v>43.930478204301011</v>
      </c>
      <c r="D109" s="107">
        <f>(D107+F109)/2</f>
        <v>60.217486583893994</v>
      </c>
      <c r="E109" s="107">
        <f>(E108+F109)/2</f>
        <v>66.880775131512252</v>
      </c>
      <c r="F109" s="107">
        <f>H331</f>
        <v>42.638381497508803</v>
      </c>
      <c r="G109" s="106"/>
    </row>
    <row r="110" spans="1:7" x14ac:dyDescent="0.35">
      <c r="A110" s="56"/>
      <c r="B110" s="57"/>
      <c r="C110" s="106"/>
      <c r="D110" s="106"/>
      <c r="E110" s="106"/>
      <c r="F110" s="106"/>
      <c r="G110" s="56"/>
    </row>
    <row r="111" spans="1:7" x14ac:dyDescent="0.35">
      <c r="A111" s="56"/>
      <c r="B111" s="57"/>
      <c r="C111" s="58"/>
      <c r="D111" s="58"/>
      <c r="E111" s="58"/>
      <c r="F111" s="58"/>
      <c r="G111" s="56"/>
    </row>
    <row r="112" spans="1:7" ht="18.5" x14ac:dyDescent="0.45">
      <c r="A112" s="64" t="s">
        <v>93</v>
      </c>
      <c r="B112" s="57"/>
      <c r="C112" s="58"/>
      <c r="D112" s="58"/>
      <c r="E112" s="58"/>
      <c r="G112" s="56"/>
    </row>
    <row r="113" spans="1:10" x14ac:dyDescent="0.35">
      <c r="B113" s="57"/>
      <c r="C113" s="58"/>
      <c r="D113" s="58"/>
      <c r="E113" s="58"/>
      <c r="F113" s="58"/>
      <c r="G113" s="56"/>
    </row>
    <row r="114" spans="1:10" x14ac:dyDescent="0.35">
      <c r="A114" t="s">
        <v>100</v>
      </c>
      <c r="B114" s="57"/>
      <c r="C114" s="58"/>
      <c r="D114" s="58"/>
      <c r="E114" s="58"/>
      <c r="F114" s="58"/>
      <c r="G114" s="56"/>
    </row>
    <row r="115" spans="1:10" x14ac:dyDescent="0.35">
      <c r="B115" s="57"/>
      <c r="C115" s="58"/>
      <c r="D115" s="58"/>
      <c r="E115" s="58"/>
      <c r="F115" s="58"/>
      <c r="G115" s="56"/>
    </row>
    <row r="116" spans="1:10" x14ac:dyDescent="0.35">
      <c r="A116" s="2" t="s">
        <v>458</v>
      </c>
      <c r="B116" s="57"/>
      <c r="C116" s="58"/>
      <c r="D116" s="58"/>
      <c r="E116" s="58"/>
      <c r="F116" s="58"/>
      <c r="G116" s="56"/>
    </row>
    <row r="117" spans="1:10" x14ac:dyDescent="0.35">
      <c r="A117" s="82" t="s">
        <v>498</v>
      </c>
    </row>
    <row r="118" spans="1:10" ht="58" x14ac:dyDescent="0.35">
      <c r="B118" s="619" t="s">
        <v>75</v>
      </c>
      <c r="C118" s="619"/>
      <c r="F118" s="542" t="s">
        <v>573</v>
      </c>
      <c r="H118" s="542" t="s">
        <v>573</v>
      </c>
    </row>
    <row r="119" spans="1:10" ht="14.5" customHeight="1" x14ac:dyDescent="0.35">
      <c r="C119" s="65" t="s">
        <v>90</v>
      </c>
      <c r="D119" s="37"/>
      <c r="F119" s="627" t="s">
        <v>81</v>
      </c>
      <c r="G119" s="627"/>
      <c r="H119" s="627"/>
    </row>
    <row r="120" spans="1:10" ht="29.5" thickBot="1" x14ac:dyDescent="0.4">
      <c r="A120" s="9" t="s">
        <v>70</v>
      </c>
      <c r="B120" s="9" t="s">
        <v>71</v>
      </c>
      <c r="C120" s="38" t="s">
        <v>89</v>
      </c>
      <c r="D120" s="38" t="s">
        <v>84</v>
      </c>
      <c r="E120" s="38" t="s">
        <v>80</v>
      </c>
      <c r="F120" s="38" t="s">
        <v>83</v>
      </c>
      <c r="G120" s="626" t="s">
        <v>91</v>
      </c>
      <c r="H120" s="626"/>
    </row>
    <row r="121" spans="1:10" ht="15" thickTop="1" x14ac:dyDescent="0.35">
      <c r="A121" s="5" t="s">
        <v>484</v>
      </c>
      <c r="B121" s="5" t="s">
        <v>72</v>
      </c>
      <c r="C121" s="52">
        <v>-1.2150000000000001</v>
      </c>
      <c r="D121" s="63">
        <f>B$368/$F$367</f>
        <v>0</v>
      </c>
      <c r="E121" s="36">
        <f>IF(SUM(D121:D123)=0,0,(C121*D121+C122*D122+C123*D123)/SUM(D121:D123))</f>
        <v>-0.98</v>
      </c>
      <c r="F121" s="36">
        <f>E368/SUM(E368:E370)</f>
        <v>0.20503474199794963</v>
      </c>
      <c r="G121" s="5" t="s">
        <v>53</v>
      </c>
      <c r="H121" s="59">
        <f>E121*F121+E124*F124+E127*F127</f>
        <v>-0.43674913145005123</v>
      </c>
      <c r="I121" s="133" t="s">
        <v>128</v>
      </c>
      <c r="J121" s="13" t="s">
        <v>135</v>
      </c>
    </row>
    <row r="122" spans="1:10" x14ac:dyDescent="0.35">
      <c r="A122" s="5"/>
      <c r="B122" s="5" t="s">
        <v>73</v>
      </c>
      <c r="C122" s="53">
        <v>-0.98</v>
      </c>
      <c r="D122" s="63">
        <f>C$368/$F$367</f>
        <v>1.7922217575721367E-2</v>
      </c>
      <c r="F122" s="36"/>
      <c r="G122" s="5" t="s">
        <v>54</v>
      </c>
      <c r="H122" s="60">
        <f>E130*F130</f>
        <v>-1.5643750000000001</v>
      </c>
    </row>
    <row r="123" spans="1:10" x14ac:dyDescent="0.35">
      <c r="A123" s="5"/>
      <c r="B123" s="5" t="s">
        <v>74</v>
      </c>
      <c r="C123" s="53">
        <v>-0.59199999999999997</v>
      </c>
      <c r="D123" s="63">
        <f>D$368/$F$367</f>
        <v>0</v>
      </c>
      <c r="F123" s="36"/>
      <c r="G123" s="5" t="s">
        <v>55</v>
      </c>
      <c r="H123" s="60">
        <f>E133*F133+E139*F139+E142*F142+E145*F145+E148*F148</f>
        <v>-1.7532300483302086</v>
      </c>
    </row>
    <row r="124" spans="1:10" ht="15" thickBot="1" x14ac:dyDescent="0.4">
      <c r="A124" s="5" t="s">
        <v>485</v>
      </c>
      <c r="B124" s="5" t="s">
        <v>511</v>
      </c>
      <c r="C124" s="53">
        <v>-1.95</v>
      </c>
      <c r="D124" s="63">
        <f>B$369/$F$367</f>
        <v>0</v>
      </c>
      <c r="E124" s="36">
        <f>IF(SUM(D124:D126)=0,0,(C124*D124+C125*D125+C126*D126)/SUM(D124:D126))</f>
        <v>-2.7</v>
      </c>
      <c r="F124" s="36">
        <f>E369/SUM(E368:E370)</f>
        <v>2.8135322929718647E-2</v>
      </c>
      <c r="G124" s="5" t="s">
        <v>50</v>
      </c>
      <c r="H124" s="61">
        <f>E136*F136</f>
        <v>-1.9549999999999998</v>
      </c>
    </row>
    <row r="125" spans="1:10" ht="15" thickTop="1" x14ac:dyDescent="0.35">
      <c r="A125" s="5" t="s">
        <v>500</v>
      </c>
      <c r="B125" s="5" t="s">
        <v>512</v>
      </c>
      <c r="C125" s="53">
        <v>-2.7</v>
      </c>
      <c r="D125" s="63">
        <f>C$369/$F$367</f>
        <v>2.4593265228906548E-3</v>
      </c>
      <c r="F125" s="36"/>
    </row>
    <row r="126" spans="1:10" x14ac:dyDescent="0.35">
      <c r="A126" s="5"/>
      <c r="B126" s="5" t="s">
        <v>513</v>
      </c>
      <c r="C126" s="53">
        <v>-3.2499999999999599E-2</v>
      </c>
      <c r="D126" s="63">
        <f>D$369/$F$367</f>
        <v>0</v>
      </c>
      <c r="F126" s="36"/>
      <c r="H126" s="82" t="s">
        <v>514</v>
      </c>
    </row>
    <row r="127" spans="1:10" ht="15" thickBot="1" x14ac:dyDescent="0.4">
      <c r="A127" s="5" t="s">
        <v>487</v>
      </c>
      <c r="B127" s="5" t="s">
        <v>72</v>
      </c>
      <c r="C127" s="53">
        <v>-0.16500000000000001</v>
      </c>
      <c r="D127" s="63">
        <f>B$370/$F$367</f>
        <v>6.4569767210307272E-2</v>
      </c>
      <c r="E127" s="36">
        <f>IF(SUM(D127:D129)=0,0,(C127*D127+C128*D128+C129*D129)/SUM(D127:D129))</f>
        <v>-0.20845523247177661</v>
      </c>
      <c r="F127" s="36">
        <f>E370/SUM(E368:E370)</f>
        <v>0.76682993507233166</v>
      </c>
      <c r="G127" s="619" t="s">
        <v>69</v>
      </c>
      <c r="H127" s="619"/>
    </row>
    <row r="128" spans="1:10" ht="15" thickTop="1" x14ac:dyDescent="0.35">
      <c r="A128" s="5" t="s">
        <v>499</v>
      </c>
      <c r="B128" s="5" t="s">
        <v>73</v>
      </c>
      <c r="C128" s="53">
        <v>-1.349375</v>
      </c>
      <c r="D128" s="63">
        <f>C$370/$F$367</f>
        <v>2.4593265228906548E-3</v>
      </c>
      <c r="F128" s="36"/>
      <c r="G128" s="5" t="s">
        <v>569</v>
      </c>
      <c r="H128" s="59">
        <v>0</v>
      </c>
      <c r="I128" s="133" t="s">
        <v>128</v>
      </c>
      <c r="J128" s="13" t="s">
        <v>136</v>
      </c>
    </row>
    <row r="129" spans="1:8" ht="15" thickBot="1" x14ac:dyDescent="0.4">
      <c r="A129" s="5"/>
      <c r="B129" s="5" t="s">
        <v>74</v>
      </c>
      <c r="C129" s="53">
        <v>-0.88600000000000001</v>
      </c>
      <c r="D129" s="63">
        <f>D$370/$F$367</f>
        <v>0</v>
      </c>
      <c r="F129" s="36"/>
      <c r="G129" s="5" t="s">
        <v>570</v>
      </c>
      <c r="H129" s="61">
        <v>0</v>
      </c>
    </row>
    <row r="130" spans="1:8" ht="15.5" thickTop="1" thickBot="1" x14ac:dyDescent="0.4">
      <c r="A130" s="5" t="s">
        <v>486</v>
      </c>
      <c r="B130" s="5" t="s">
        <v>72</v>
      </c>
      <c r="C130" s="53">
        <v>-0.4325</v>
      </c>
      <c r="D130" s="63">
        <f>B$371/$F$367</f>
        <v>0</v>
      </c>
      <c r="E130" s="36">
        <f>IF(SUM(D130:D132)=0,0,(C130*D130+C131*D131+C132*D132)/SUM(D130:D132))</f>
        <v>-1.5643750000000001</v>
      </c>
      <c r="F130" s="36">
        <v>1</v>
      </c>
      <c r="G130" s="5" t="s">
        <v>331</v>
      </c>
      <c r="H130" s="433">
        <v>0</v>
      </c>
    </row>
    <row r="131" spans="1:8" ht="15" thickTop="1" x14ac:dyDescent="0.35">
      <c r="A131" s="5"/>
      <c r="B131" s="5" t="s">
        <v>73</v>
      </c>
      <c r="C131" s="53">
        <v>-1.5643750000000001</v>
      </c>
      <c r="D131" s="63">
        <f>C$371/$F$367</f>
        <v>2.4593265228906548E-3</v>
      </c>
      <c r="F131" s="36"/>
    </row>
    <row r="132" spans="1:8" x14ac:dyDescent="0.35">
      <c r="A132" s="5"/>
      <c r="B132" s="5" t="s">
        <v>74</v>
      </c>
      <c r="C132" s="53">
        <v>-0.82</v>
      </c>
      <c r="D132" s="63">
        <f>D$371/$F$367</f>
        <v>0</v>
      </c>
      <c r="F132" s="36"/>
    </row>
    <row r="133" spans="1:8" x14ac:dyDescent="0.35">
      <c r="A133" s="5" t="s">
        <v>488</v>
      </c>
      <c r="B133" s="5" t="s">
        <v>72</v>
      </c>
      <c r="C133" s="53">
        <v>-1.2075</v>
      </c>
      <c r="D133" s="63">
        <f>B$372/$F$367</f>
        <v>0</v>
      </c>
      <c r="E133" s="36">
        <f>IF(SUM(D133:D135)=0,0,(C133*D133+C134*D134+C135*D135)/SUM(D133:D135))</f>
        <v>-1.7659692459727756</v>
      </c>
      <c r="F133" s="36">
        <f>E372/(E372+SUM(E374:E377))</f>
        <v>0.73973305983041271</v>
      </c>
    </row>
    <row r="134" spans="1:8" x14ac:dyDescent="0.35">
      <c r="A134" s="5"/>
      <c r="B134" s="5" t="s">
        <v>73</v>
      </c>
      <c r="C134" s="53">
        <v>-1.9724999999999999</v>
      </c>
      <c r="D134" s="63">
        <f>C$372/$F$367</f>
        <v>0.43245315331461448</v>
      </c>
      <c r="F134" s="36"/>
    </row>
    <row r="135" spans="1:8" x14ac:dyDescent="0.35">
      <c r="A135" s="5"/>
      <c r="B135" s="5" t="s">
        <v>74</v>
      </c>
      <c r="C135" s="53">
        <v>-1.39</v>
      </c>
      <c r="D135" s="63">
        <f>D$372/$F$367</f>
        <v>0.23755899396618674</v>
      </c>
      <c r="F135" s="36"/>
    </row>
    <row r="136" spans="1:8" x14ac:dyDescent="0.35">
      <c r="A136" s="5" t="s">
        <v>516</v>
      </c>
      <c r="B136" s="5" t="s">
        <v>511</v>
      </c>
      <c r="C136" s="53">
        <v>-1.1200000000000001</v>
      </c>
      <c r="D136" s="63">
        <f>B$373/$F$367</f>
        <v>0</v>
      </c>
      <c r="E136" s="36">
        <f>IF(SUM(D136:D138)=0,0,(C136*D136+C137*D137+C138*D138)/SUM(D136:D138))</f>
        <v>-1.9549999999999998</v>
      </c>
      <c r="F136" s="36">
        <v>1</v>
      </c>
    </row>
    <row r="137" spans="1:8" x14ac:dyDescent="0.35">
      <c r="A137" s="5" t="s">
        <v>500</v>
      </c>
      <c r="B137" s="5" t="s">
        <v>512</v>
      </c>
      <c r="C137" s="53">
        <v>-1.9550000000000001</v>
      </c>
      <c r="D137" s="63">
        <f>C$373/$F$367</f>
        <v>2.4593265228906548E-3</v>
      </c>
      <c r="F137" s="36"/>
    </row>
    <row r="138" spans="1:8" x14ac:dyDescent="0.35">
      <c r="B138" s="5" t="s">
        <v>513</v>
      </c>
      <c r="C138" s="53">
        <v>-1.7375</v>
      </c>
      <c r="D138" s="63">
        <f>D$373/$F$367</f>
        <v>0</v>
      </c>
    </row>
    <row r="139" spans="1:8" x14ac:dyDescent="0.35">
      <c r="A139" s="5" t="s">
        <v>489</v>
      </c>
      <c r="B139" s="5" t="s">
        <v>511</v>
      </c>
      <c r="C139" s="53">
        <v>-1.01</v>
      </c>
      <c r="D139" s="63">
        <f>B$374/$F$367</f>
        <v>0</v>
      </c>
      <c r="E139" s="36">
        <f>IF(SUM(D139:D141)=0,0,(C139*D139+C140*D140+C141*D141)/SUM(D139:D141))</f>
        <v>-1.9051196072597441</v>
      </c>
      <c r="F139" s="36">
        <f>E374/(E$372+SUM(E$374:E$377))</f>
        <v>0.18473539306975698</v>
      </c>
    </row>
    <row r="140" spans="1:8" x14ac:dyDescent="0.35">
      <c r="A140" s="504" t="s">
        <v>503</v>
      </c>
      <c r="B140" s="5" t="s">
        <v>512</v>
      </c>
      <c r="C140" s="53">
        <v>-2.11</v>
      </c>
      <c r="D140" s="63">
        <f>C$374/$F$367</f>
        <v>9.6640579883306446E-2</v>
      </c>
      <c r="F140" s="36"/>
    </row>
    <row r="141" spans="1:8" x14ac:dyDescent="0.35">
      <c r="B141" s="5" t="s">
        <v>513</v>
      </c>
      <c r="C141" s="53">
        <v>-1.625</v>
      </c>
      <c r="D141" s="63">
        <f>D$374/$F$367</f>
        <v>7.0683234761136665E-2</v>
      </c>
      <c r="E141" s="140"/>
      <c r="F141" s="36"/>
    </row>
    <row r="142" spans="1:8" x14ac:dyDescent="0.35">
      <c r="A142" s="5" t="s">
        <v>490</v>
      </c>
      <c r="B142" s="5" t="s">
        <v>72</v>
      </c>
      <c r="C142" s="53">
        <v>-0.67</v>
      </c>
      <c r="D142" s="63">
        <f>B$375/$F$367</f>
        <v>0</v>
      </c>
      <c r="E142" s="36">
        <f>IF(SUM(D142:D144)=0,0,(C142*D142+C143*D143+C144*D144)/SUM(D142:D144))</f>
        <v>-1.5431250000000001</v>
      </c>
      <c r="F142" s="36">
        <f>E375/(E$372+SUM(E$374:E$377))</f>
        <v>2.7152420165563809E-3</v>
      </c>
    </row>
    <row r="143" spans="1:8" x14ac:dyDescent="0.35">
      <c r="A143" s="5"/>
      <c r="B143" s="5" t="s">
        <v>73</v>
      </c>
      <c r="C143" s="53">
        <v>-1.5431250000000001</v>
      </c>
      <c r="D143" s="63">
        <f>C$375/$F$367</f>
        <v>2.4593265228906548E-3</v>
      </c>
      <c r="E143" s="140"/>
      <c r="F143" s="36"/>
    </row>
    <row r="144" spans="1:8" x14ac:dyDescent="0.35">
      <c r="A144" s="5"/>
      <c r="B144" s="5" t="s">
        <v>74</v>
      </c>
      <c r="C144" s="53">
        <v>-0.80600000000000005</v>
      </c>
      <c r="D144" s="63">
        <f>D$375/$F$367</f>
        <v>0</v>
      </c>
      <c r="E144" s="140"/>
      <c r="F144" s="36"/>
    </row>
    <row r="145" spans="1:7" x14ac:dyDescent="0.35">
      <c r="A145" s="5" t="s">
        <v>491</v>
      </c>
      <c r="B145" s="5" t="s">
        <v>72</v>
      </c>
      <c r="C145" s="53">
        <v>-0.72750000000000004</v>
      </c>
      <c r="D145" s="63">
        <f>B$376/$F$367</f>
        <v>0</v>
      </c>
      <c r="E145" s="36">
        <f>IF(SUM(D145:D147)=0,0,(C145*D145+C146*D146+C147*D147)/SUM(D145:D147))</f>
        <v>-1.483125</v>
      </c>
      <c r="F145" s="36">
        <f>E376/(E$372+SUM(E$374:E$377))</f>
        <v>2.7152420165563809E-3</v>
      </c>
    </row>
    <row r="146" spans="1:7" x14ac:dyDescent="0.35">
      <c r="A146" s="5"/>
      <c r="B146" s="5" t="s">
        <v>73</v>
      </c>
      <c r="C146" s="53">
        <v>-1.483125</v>
      </c>
      <c r="D146" s="63">
        <f>C$376/$F$367</f>
        <v>2.4593265228906548E-3</v>
      </c>
      <c r="E146" s="140"/>
      <c r="F146" s="36"/>
    </row>
    <row r="147" spans="1:7" x14ac:dyDescent="0.35">
      <c r="A147" s="5"/>
      <c r="B147" s="5" t="s">
        <v>74</v>
      </c>
      <c r="C147" s="53">
        <v>-1.512</v>
      </c>
      <c r="D147" s="63">
        <f>D$376/$F$367</f>
        <v>0</v>
      </c>
      <c r="E147" s="140"/>
      <c r="F147" s="36"/>
    </row>
    <row r="148" spans="1:7" x14ac:dyDescent="0.35">
      <c r="A148" s="5" t="s">
        <v>492</v>
      </c>
      <c r="B148" s="5" t="s">
        <v>72</v>
      </c>
      <c r="C148" s="53">
        <f>C133</f>
        <v>-1.2075</v>
      </c>
      <c r="D148" s="63">
        <f>B$377/$F$367</f>
        <v>6.1034609793496224E-2</v>
      </c>
      <c r="E148" s="36">
        <f>IF(SUM(D148:D150)=0,0,(C148*D148+C149*D149+C150*D150)/SUM(D148:D150))</f>
        <v>-1.237130936419448</v>
      </c>
      <c r="F148" s="36">
        <f>E377/(E$372+SUM(E$374:E$377))</f>
        <v>7.0101063066717456E-2</v>
      </c>
    </row>
    <row r="149" spans="1:7" x14ac:dyDescent="0.35">
      <c r="A149" s="5" t="s">
        <v>501</v>
      </c>
      <c r="B149" s="5" t="s">
        <v>73</v>
      </c>
      <c r="C149" s="53">
        <f t="shared" ref="C149:C150" si="9">C134</f>
        <v>-1.9724999999999999</v>
      </c>
      <c r="D149" s="63">
        <f>C$377/$F$367</f>
        <v>2.4593265228906548E-3</v>
      </c>
      <c r="E149" s="140"/>
      <c r="F149" s="36"/>
    </row>
    <row r="150" spans="1:7" ht="15" thickBot="1" x14ac:dyDescent="0.4">
      <c r="B150" s="5" t="s">
        <v>74</v>
      </c>
      <c r="C150" s="54">
        <f t="shared" si="9"/>
        <v>-1.39</v>
      </c>
      <c r="D150" s="63">
        <f>D$377/$F$367</f>
        <v>0</v>
      </c>
    </row>
    <row r="151" spans="1:7" ht="15" thickTop="1" x14ac:dyDescent="0.35">
      <c r="B151" s="5"/>
      <c r="C151" s="110"/>
      <c r="D151" s="134"/>
      <c r="E151" s="141">
        <f>SUM(D121:D150)</f>
        <v>0.9980778421650035</v>
      </c>
      <c r="F151" s="133" t="s">
        <v>128</v>
      </c>
      <c r="G151" s="138" t="s">
        <v>130</v>
      </c>
    </row>
    <row r="152" spans="1:7" x14ac:dyDescent="0.35">
      <c r="B152" s="5"/>
      <c r="C152" s="110"/>
      <c r="D152" s="134"/>
      <c r="E152" s="140"/>
      <c r="F152" s="36"/>
    </row>
    <row r="153" spans="1:7" x14ac:dyDescent="0.35">
      <c r="A153" s="56"/>
      <c r="B153" s="57"/>
      <c r="C153" s="58"/>
      <c r="D153" s="58"/>
      <c r="E153" s="58"/>
      <c r="F153" s="58"/>
      <c r="G153" s="56"/>
    </row>
    <row r="154" spans="1:7" ht="18.5" x14ac:dyDescent="0.45">
      <c r="A154" s="64" t="s">
        <v>98</v>
      </c>
      <c r="G154" s="84" t="s">
        <v>406</v>
      </c>
    </row>
    <row r="156" spans="1:7" x14ac:dyDescent="0.35">
      <c r="A156" s="2" t="s">
        <v>332</v>
      </c>
    </row>
    <row r="157" spans="1:7" x14ac:dyDescent="0.35">
      <c r="A157" s="2"/>
    </row>
    <row r="158" spans="1:7" x14ac:dyDescent="0.35">
      <c r="B158" s="5" t="s">
        <v>139</v>
      </c>
      <c r="C158" s="5" t="s">
        <v>140</v>
      </c>
    </row>
    <row r="159" spans="1:7" x14ac:dyDescent="0.35">
      <c r="A159" t="s">
        <v>137</v>
      </c>
      <c r="B159">
        <f>Intro!B22</f>
        <v>2011</v>
      </c>
      <c r="C159">
        <f>Intro!B23</f>
        <v>2016</v>
      </c>
    </row>
    <row r="161" spans="1:15" x14ac:dyDescent="0.35">
      <c r="A161" s="2" t="s">
        <v>459</v>
      </c>
    </row>
    <row r="162" spans="1:15" x14ac:dyDescent="0.35">
      <c r="B162" s="152" t="s">
        <v>156</v>
      </c>
      <c r="C162" s="78"/>
    </row>
    <row r="163" spans="1:15" x14ac:dyDescent="0.35">
      <c r="B163" s="619" t="s">
        <v>144</v>
      </c>
      <c r="C163" s="619"/>
      <c r="D163" s="619"/>
      <c r="E163" s="619"/>
      <c r="F163" s="619" t="s">
        <v>145</v>
      </c>
      <c r="G163" s="619"/>
      <c r="H163" s="619"/>
      <c r="I163" s="619"/>
      <c r="J163" s="78" t="s">
        <v>90</v>
      </c>
      <c r="K163" s="619" t="s">
        <v>146</v>
      </c>
      <c r="L163" s="619"/>
      <c r="M163" s="619"/>
      <c r="N163" s="619"/>
      <c r="O163" s="619"/>
    </row>
    <row r="164" spans="1:15" ht="29" x14ac:dyDescent="0.35">
      <c r="B164" s="544" t="s">
        <v>90</v>
      </c>
      <c r="C164" s="619" t="s">
        <v>148</v>
      </c>
      <c r="D164" s="619"/>
      <c r="E164" s="619"/>
      <c r="F164" s="543"/>
      <c r="G164" s="543"/>
      <c r="J164" s="468" t="s">
        <v>405</v>
      </c>
      <c r="K164" s="619" t="s">
        <v>149</v>
      </c>
      <c r="L164" s="619"/>
      <c r="M164" s="619"/>
      <c r="N164" s="619"/>
      <c r="O164" s="619"/>
    </row>
    <row r="165" spans="1:15" ht="15" thickBot="1" x14ac:dyDescent="0.4">
      <c r="A165" s="77" t="s">
        <v>103</v>
      </c>
      <c r="B165" s="5" t="s">
        <v>141</v>
      </c>
      <c r="C165" s="5" t="s">
        <v>142</v>
      </c>
      <c r="D165" s="5" t="s">
        <v>261</v>
      </c>
      <c r="E165" s="5" t="s">
        <v>143</v>
      </c>
      <c r="F165" s="5" t="s">
        <v>141</v>
      </c>
      <c r="G165" s="5" t="s">
        <v>142</v>
      </c>
      <c r="H165" s="5" t="s">
        <v>261</v>
      </c>
      <c r="I165" s="5" t="s">
        <v>143</v>
      </c>
      <c r="J165" s="5" t="s">
        <v>138</v>
      </c>
      <c r="K165" s="5" t="s">
        <v>141</v>
      </c>
      <c r="L165" s="5" t="s">
        <v>142</v>
      </c>
      <c r="M165" s="5" t="s">
        <v>261</v>
      </c>
      <c r="N165" s="5" t="s">
        <v>143</v>
      </c>
      <c r="O165" s="5" t="s">
        <v>79</v>
      </c>
    </row>
    <row r="166" spans="1:15" ht="15" thickTop="1" x14ac:dyDescent="0.35">
      <c r="A166" t="s">
        <v>484</v>
      </c>
      <c r="B166" s="144">
        <v>0</v>
      </c>
      <c r="C166" s="145">
        <v>0</v>
      </c>
      <c r="D166" s="145">
        <v>0</v>
      </c>
      <c r="E166" s="146">
        <v>0</v>
      </c>
      <c r="F166" s="151">
        <f>E217</f>
        <v>57.957759583257399</v>
      </c>
      <c r="G166" s="151">
        <f>E254</f>
        <v>-48.781069054715005</v>
      </c>
      <c r="H166" s="406">
        <f>E291</f>
        <v>42.685538178230999</v>
      </c>
      <c r="I166" s="151">
        <f>E328</f>
        <v>89.181184270118308</v>
      </c>
      <c r="J166" s="41">
        <f>E368</f>
        <v>728.74493927125502</v>
      </c>
      <c r="K166" s="39">
        <f t="shared" ref="K166:K175" si="10">B166*F166*$J166</f>
        <v>0</v>
      </c>
      <c r="L166" s="39">
        <f t="shared" ref="L166:L175" si="11">C166*G166*$J166</f>
        <v>0</v>
      </c>
      <c r="M166" s="39">
        <f t="shared" ref="M166:M175" si="12">D166*H166*$J166</f>
        <v>0</v>
      </c>
      <c r="N166" s="39">
        <f t="shared" ref="N166:N175" si="13">E166*I166*$J166</f>
        <v>0</v>
      </c>
      <c r="O166" s="39">
        <f t="shared" ref="O166:O175" si="14">SUM(K166:N166)</f>
        <v>0</v>
      </c>
    </row>
    <row r="167" spans="1:15" x14ac:dyDescent="0.35">
      <c r="A167" t="s">
        <v>485</v>
      </c>
      <c r="B167" s="63">
        <v>0</v>
      </c>
      <c r="C167" s="134">
        <v>0</v>
      </c>
      <c r="D167" s="134">
        <v>0</v>
      </c>
      <c r="E167" s="147">
        <v>0</v>
      </c>
      <c r="F167" s="151">
        <f>E220</f>
        <v>37.313352217735812</v>
      </c>
      <c r="G167" s="151">
        <f>E257</f>
        <v>-42.119237756765983</v>
      </c>
      <c r="H167" s="406">
        <f>E294</f>
        <v>19.851802557273302</v>
      </c>
      <c r="I167" s="151">
        <f>E331</f>
        <v>51.432573574398901</v>
      </c>
      <c r="J167" s="41">
        <f t="shared" ref="J167:J175" si="15">E369</f>
        <v>100</v>
      </c>
      <c r="K167" s="39">
        <f t="shared" si="10"/>
        <v>0</v>
      </c>
      <c r="L167" s="39">
        <f t="shared" si="11"/>
        <v>0</v>
      </c>
      <c r="M167" s="39">
        <f t="shared" si="12"/>
        <v>0</v>
      </c>
      <c r="N167" s="39">
        <f t="shared" si="13"/>
        <v>0</v>
      </c>
      <c r="O167" s="39">
        <f t="shared" si="14"/>
        <v>0</v>
      </c>
    </row>
    <row r="168" spans="1:15" x14ac:dyDescent="0.35">
      <c r="A168" t="s">
        <v>487</v>
      </c>
      <c r="B168" s="63">
        <v>0</v>
      </c>
      <c r="C168" s="134">
        <v>0</v>
      </c>
      <c r="D168" s="134">
        <v>0</v>
      </c>
      <c r="E168" s="147">
        <v>0</v>
      </c>
      <c r="F168" s="151">
        <f>E223</f>
        <v>41.403240591527684</v>
      </c>
      <c r="G168" s="151">
        <f>E260</f>
        <v>-27.233179000219351</v>
      </c>
      <c r="H168" s="406">
        <f>E297</f>
        <v>-2.7997794063207144</v>
      </c>
      <c r="I168" s="151">
        <f>E334</f>
        <v>33.241088500504745</v>
      </c>
      <c r="J168" s="41">
        <f t="shared" si="15"/>
        <v>2725.5060728744938</v>
      </c>
      <c r="K168" s="39">
        <f t="shared" si="10"/>
        <v>0</v>
      </c>
      <c r="L168" s="39">
        <f t="shared" si="11"/>
        <v>0</v>
      </c>
      <c r="M168" s="39">
        <f t="shared" si="12"/>
        <v>0</v>
      </c>
      <c r="N168" s="39">
        <f t="shared" si="13"/>
        <v>0</v>
      </c>
      <c r="O168" s="39">
        <f t="shared" si="14"/>
        <v>0</v>
      </c>
    </row>
    <row r="169" spans="1:15" x14ac:dyDescent="0.35">
      <c r="A169" t="s">
        <v>486</v>
      </c>
      <c r="B169" s="63">
        <v>0</v>
      </c>
      <c r="C169" s="134">
        <v>0</v>
      </c>
      <c r="D169" s="134">
        <v>0</v>
      </c>
      <c r="E169" s="147">
        <v>0</v>
      </c>
      <c r="F169" s="151">
        <f>E226</f>
        <v>53.210604190261499</v>
      </c>
      <c r="G169" s="151">
        <f>E263</f>
        <v>-51.382312715855022</v>
      </c>
      <c r="H169" s="406">
        <f>E300</f>
        <v>23.662075270550986</v>
      </c>
      <c r="I169" s="151">
        <f>E337</f>
        <v>77.796591670279184</v>
      </c>
      <c r="J169" s="41">
        <f t="shared" si="15"/>
        <v>100</v>
      </c>
      <c r="K169" s="39">
        <f t="shared" si="10"/>
        <v>0</v>
      </c>
      <c r="L169" s="39">
        <f t="shared" si="11"/>
        <v>0</v>
      </c>
      <c r="M169" s="39">
        <f t="shared" si="12"/>
        <v>0</v>
      </c>
      <c r="N169" s="39">
        <f t="shared" si="13"/>
        <v>0</v>
      </c>
      <c r="O169" s="39">
        <f t="shared" si="14"/>
        <v>0</v>
      </c>
    </row>
    <row r="170" spans="1:15" x14ac:dyDescent="0.35">
      <c r="A170" t="s">
        <v>488</v>
      </c>
      <c r="B170" s="63">
        <v>0</v>
      </c>
      <c r="C170" s="134">
        <v>0</v>
      </c>
      <c r="D170" s="134">
        <v>0</v>
      </c>
      <c r="E170" s="147">
        <v>0</v>
      </c>
      <c r="F170" s="106">
        <f>E229</f>
        <v>64.088713016498517</v>
      </c>
      <c r="G170" s="106">
        <f>E266</f>
        <v>-56.741993419414996</v>
      </c>
      <c r="H170" s="406">
        <f>E303</f>
        <v>67.341766323338504</v>
      </c>
      <c r="I170" s="106">
        <f>E340</f>
        <v>101.9964062484059</v>
      </c>
      <c r="J170" s="41">
        <f t="shared" si="15"/>
        <v>27243.724696356272</v>
      </c>
      <c r="K170" s="39">
        <f t="shared" si="10"/>
        <v>0</v>
      </c>
      <c r="L170" s="39">
        <f t="shared" si="11"/>
        <v>0</v>
      </c>
      <c r="M170" s="39">
        <f t="shared" si="12"/>
        <v>0</v>
      </c>
      <c r="N170" s="39">
        <f t="shared" si="13"/>
        <v>0</v>
      </c>
      <c r="O170" s="39">
        <f t="shared" si="14"/>
        <v>0</v>
      </c>
    </row>
    <row r="171" spans="1:15" x14ac:dyDescent="0.35">
      <c r="A171" t="s">
        <v>516</v>
      </c>
      <c r="B171" s="63">
        <v>0</v>
      </c>
      <c r="C171" s="134">
        <v>0</v>
      </c>
      <c r="D171" s="134">
        <v>0</v>
      </c>
      <c r="E171" s="147">
        <v>0</v>
      </c>
      <c r="F171" s="106">
        <f>E232</f>
        <v>32.372520375258404</v>
      </c>
      <c r="G171" s="106">
        <f>E269</f>
        <v>-60.968170124903985</v>
      </c>
      <c r="H171" s="406">
        <f>E306</f>
        <v>-60.968170124903985</v>
      </c>
      <c r="I171" s="106">
        <f>E343</f>
        <v>42.638381497508803</v>
      </c>
      <c r="J171" s="41">
        <f t="shared" si="15"/>
        <v>100</v>
      </c>
      <c r="K171" s="39">
        <f t="shared" si="10"/>
        <v>0</v>
      </c>
      <c r="L171" s="39">
        <f t="shared" si="11"/>
        <v>0</v>
      </c>
      <c r="M171" s="39">
        <f t="shared" si="12"/>
        <v>0</v>
      </c>
      <c r="N171" s="39">
        <f t="shared" si="13"/>
        <v>0</v>
      </c>
      <c r="O171" s="39">
        <f t="shared" si="14"/>
        <v>0</v>
      </c>
    </row>
    <row r="172" spans="1:15" x14ac:dyDescent="0.35">
      <c r="A172" t="s">
        <v>493</v>
      </c>
      <c r="B172" s="63">
        <v>0</v>
      </c>
      <c r="C172" s="134">
        <v>0</v>
      </c>
      <c r="D172" s="134">
        <v>0</v>
      </c>
      <c r="E172" s="147">
        <v>0</v>
      </c>
      <c r="F172" s="106">
        <f>E235</f>
        <v>83.041632749391482</v>
      </c>
      <c r="G172" s="106">
        <f>E272</f>
        <v>-41.322087992310955</v>
      </c>
      <c r="H172" s="406">
        <f>E309</f>
        <v>22.344351776042949</v>
      </c>
      <c r="I172" s="106">
        <f>E346</f>
        <v>70.893111675070685</v>
      </c>
      <c r="J172" s="41">
        <f t="shared" si="15"/>
        <v>6803.643724696356</v>
      </c>
      <c r="K172" s="39">
        <f t="shared" si="10"/>
        <v>0</v>
      </c>
      <c r="L172" s="39">
        <f t="shared" si="11"/>
        <v>0</v>
      </c>
      <c r="M172" s="39">
        <f t="shared" si="12"/>
        <v>0</v>
      </c>
      <c r="N172" s="39">
        <f t="shared" si="13"/>
        <v>0</v>
      </c>
      <c r="O172" s="39">
        <f t="shared" si="14"/>
        <v>0</v>
      </c>
    </row>
    <row r="173" spans="1:15" x14ac:dyDescent="0.35">
      <c r="A173" t="s">
        <v>490</v>
      </c>
      <c r="B173" s="63">
        <v>0</v>
      </c>
      <c r="C173" s="134">
        <v>0</v>
      </c>
      <c r="D173" s="134">
        <v>0</v>
      </c>
      <c r="E173" s="147">
        <v>0</v>
      </c>
      <c r="F173" s="106">
        <f>E238</f>
        <v>58.426931152283991</v>
      </c>
      <c r="G173" s="106">
        <f>E275</f>
        <v>44.555578332982989</v>
      </c>
      <c r="H173" s="406">
        <f>E312</f>
        <v>60.870786438869999</v>
      </c>
      <c r="I173" s="106">
        <f>E349</f>
        <v>90.611955249483387</v>
      </c>
      <c r="J173" s="41">
        <f t="shared" si="15"/>
        <v>100</v>
      </c>
      <c r="K173" s="39">
        <f t="shared" si="10"/>
        <v>0</v>
      </c>
      <c r="L173" s="39">
        <f t="shared" si="11"/>
        <v>0</v>
      </c>
      <c r="M173" s="39">
        <f t="shared" si="12"/>
        <v>0</v>
      </c>
      <c r="N173" s="39">
        <f t="shared" si="13"/>
        <v>0</v>
      </c>
      <c r="O173" s="39">
        <f t="shared" si="14"/>
        <v>0</v>
      </c>
    </row>
    <row r="174" spans="1:15" x14ac:dyDescent="0.35">
      <c r="A174" t="s">
        <v>491</v>
      </c>
      <c r="B174" s="63">
        <v>0</v>
      </c>
      <c r="C174" s="134">
        <v>0</v>
      </c>
      <c r="D174" s="134">
        <v>0</v>
      </c>
      <c r="E174" s="147">
        <v>0</v>
      </c>
      <c r="F174" s="106">
        <f>E241</f>
        <v>56.690329780656107</v>
      </c>
      <c r="G174" s="106">
        <f>E278</f>
        <v>20.010569112746992</v>
      </c>
      <c r="H174" s="406">
        <f>E315</f>
        <v>-52.077822931090992</v>
      </c>
      <c r="I174" s="106">
        <f>E352</f>
        <v>76.042933443112602</v>
      </c>
      <c r="J174" s="41">
        <f t="shared" si="15"/>
        <v>100</v>
      </c>
      <c r="K174" s="39">
        <f t="shared" si="10"/>
        <v>0</v>
      </c>
      <c r="L174" s="39">
        <f t="shared" si="11"/>
        <v>0</v>
      </c>
      <c r="M174" s="39">
        <f t="shared" si="12"/>
        <v>0</v>
      </c>
      <c r="N174" s="39">
        <f t="shared" si="13"/>
        <v>0</v>
      </c>
      <c r="O174" s="39">
        <f t="shared" si="14"/>
        <v>0</v>
      </c>
    </row>
    <row r="175" spans="1:15" ht="15" thickBot="1" x14ac:dyDescent="0.4">
      <c r="A175" t="s">
        <v>494</v>
      </c>
      <c r="B175" s="148">
        <v>0</v>
      </c>
      <c r="C175" s="149">
        <v>0</v>
      </c>
      <c r="D175" s="149">
        <v>0</v>
      </c>
      <c r="E175" s="150">
        <v>0</v>
      </c>
      <c r="F175" s="106">
        <f>E244</f>
        <v>21.786786567430013</v>
      </c>
      <c r="G175" s="106">
        <f>E281</f>
        <v>-52.67287118668137</v>
      </c>
      <c r="H175" s="406">
        <f>E318</f>
        <v>9.4567264586307438</v>
      </c>
      <c r="I175" s="106">
        <f>E355</f>
        <v>30.300251943112322</v>
      </c>
      <c r="J175" s="41">
        <f t="shared" si="15"/>
        <v>2581.7611336032387</v>
      </c>
      <c r="K175" s="39">
        <f t="shared" si="10"/>
        <v>0</v>
      </c>
      <c r="L175" s="39">
        <f t="shared" si="11"/>
        <v>0</v>
      </c>
      <c r="M175" s="39">
        <f t="shared" si="12"/>
        <v>0</v>
      </c>
      <c r="N175" s="39">
        <f t="shared" si="13"/>
        <v>0</v>
      </c>
      <c r="O175" s="39">
        <f t="shared" si="14"/>
        <v>0</v>
      </c>
    </row>
    <row r="176" spans="1:15" ht="15" thickTop="1" x14ac:dyDescent="0.35">
      <c r="B176" s="134"/>
      <c r="C176" s="134"/>
      <c r="E176" s="134"/>
      <c r="F176" s="106"/>
      <c r="G176" s="106"/>
      <c r="I176" s="106"/>
      <c r="J176" s="374"/>
      <c r="K176" s="39"/>
      <c r="L176" s="39"/>
      <c r="M176" s="39"/>
      <c r="N176" s="39"/>
    </row>
    <row r="177" spans="1:9" x14ac:dyDescent="0.35">
      <c r="A177" s="82"/>
      <c r="C177" s="39"/>
    </row>
    <row r="178" spans="1:9" x14ac:dyDescent="0.35">
      <c r="B178" t="s">
        <v>150</v>
      </c>
      <c r="D178" s="619" t="s">
        <v>151</v>
      </c>
      <c r="E178" s="619"/>
    </row>
    <row r="179" spans="1:9" ht="49" customHeight="1" thickBot="1" x14ac:dyDescent="0.4">
      <c r="B179" s="619" t="s">
        <v>153</v>
      </c>
      <c r="C179" s="619"/>
      <c r="D179" s="79" t="s">
        <v>152</v>
      </c>
      <c r="E179" s="79" t="s">
        <v>154</v>
      </c>
      <c r="G179" s="12" t="s">
        <v>155</v>
      </c>
    </row>
    <row r="180" spans="1:9" ht="15" thickTop="1" x14ac:dyDescent="0.35">
      <c r="B180" s="5" t="s">
        <v>53</v>
      </c>
      <c r="C180" s="59">
        <f>H121</f>
        <v>-0.43674913145005123</v>
      </c>
      <c r="D180" s="39">
        <f>(O166+O167+O168)</f>
        <v>0</v>
      </c>
      <c r="E180" s="36">
        <f>D180/SUM(J166:J168)/(C159-B159)</f>
        <v>0</v>
      </c>
      <c r="F180" s="5" t="s">
        <v>53</v>
      </c>
      <c r="G180" s="59">
        <f>C180+E180</f>
        <v>-0.43674913145005123</v>
      </c>
      <c r="H180" s="133" t="s">
        <v>128</v>
      </c>
      <c r="I180" s="13" t="s">
        <v>134</v>
      </c>
    </row>
    <row r="181" spans="1:9" x14ac:dyDescent="0.35">
      <c r="B181" s="5" t="s">
        <v>54</v>
      </c>
      <c r="C181" s="60">
        <f>H122</f>
        <v>-1.5643750000000001</v>
      </c>
      <c r="D181" s="39">
        <f>O169</f>
        <v>0</v>
      </c>
      <c r="E181" s="36">
        <f>(E180+E182)/2</f>
        <v>0</v>
      </c>
      <c r="F181" s="5" t="s">
        <v>54</v>
      </c>
      <c r="G181" s="60">
        <f t="shared" ref="G181:G183" si="16">C181+E181</f>
        <v>-1.5643750000000001</v>
      </c>
    </row>
    <row r="182" spans="1:9" x14ac:dyDescent="0.35">
      <c r="B182" s="5" t="s">
        <v>55</v>
      </c>
      <c r="C182" s="60">
        <f>H123</f>
        <v>-1.7532300483302086</v>
      </c>
      <c r="D182" s="39">
        <f>O170+SUM(O172:O175)</f>
        <v>0</v>
      </c>
      <c r="E182" s="36">
        <f>D182/(J170+SUM(J172:J175))/(C159-B159)</f>
        <v>0</v>
      </c>
      <c r="F182" s="5" t="s">
        <v>55</v>
      </c>
      <c r="G182" s="60">
        <f t="shared" si="16"/>
        <v>-1.7532300483302086</v>
      </c>
    </row>
    <row r="183" spans="1:9" ht="15" thickBot="1" x14ac:dyDescent="0.4">
      <c r="B183" s="5" t="s">
        <v>50</v>
      </c>
      <c r="C183" s="61">
        <f>H124</f>
        <v>-1.9549999999999998</v>
      </c>
      <c r="D183" s="39">
        <f>O171</f>
        <v>0</v>
      </c>
      <c r="E183" s="36">
        <f>D183/J171/(C159-B159)</f>
        <v>0</v>
      </c>
      <c r="F183" s="5" t="s">
        <v>50</v>
      </c>
      <c r="G183" s="61">
        <f t="shared" si="16"/>
        <v>-1.9549999999999998</v>
      </c>
    </row>
    <row r="184" spans="1:9" ht="15" thickTop="1" x14ac:dyDescent="0.35"/>
    <row r="186" spans="1:9" x14ac:dyDescent="0.35">
      <c r="A186" s="2" t="s">
        <v>333</v>
      </c>
    </row>
    <row r="187" spans="1:9" x14ac:dyDescent="0.35">
      <c r="A187" s="82"/>
    </row>
    <row r="188" spans="1:9" x14ac:dyDescent="0.35">
      <c r="B188" s="5" t="s">
        <v>139</v>
      </c>
      <c r="C188" s="5" t="s">
        <v>140</v>
      </c>
    </row>
    <row r="189" spans="1:9" x14ac:dyDescent="0.35">
      <c r="A189" t="s">
        <v>137</v>
      </c>
      <c r="B189">
        <f>Intro!B22</f>
        <v>2011</v>
      </c>
      <c r="C189">
        <f>Intro!B23</f>
        <v>2016</v>
      </c>
    </row>
    <row r="191" spans="1:9" x14ac:dyDescent="0.35">
      <c r="A191" s="2" t="s">
        <v>460</v>
      </c>
    </row>
    <row r="193" spans="1:8" x14ac:dyDescent="0.35">
      <c r="B193" s="629" t="s">
        <v>585</v>
      </c>
      <c r="C193" s="629"/>
      <c r="D193" s="82" t="s">
        <v>515</v>
      </c>
    </row>
    <row r="194" spans="1:8" ht="29" x14ac:dyDescent="0.35">
      <c r="B194" s="143" t="s">
        <v>101</v>
      </c>
      <c r="C194" s="468" t="s">
        <v>405</v>
      </c>
    </row>
    <row r="195" spans="1:8" ht="15" thickBot="1" x14ac:dyDescent="0.4">
      <c r="A195" s="77" t="s">
        <v>103</v>
      </c>
      <c r="B195" s="5" t="s">
        <v>102</v>
      </c>
      <c r="C195" s="5" t="s">
        <v>138</v>
      </c>
      <c r="D195" t="s">
        <v>91</v>
      </c>
    </row>
    <row r="196" spans="1:8" ht="15" thickTop="1" x14ac:dyDescent="0.35">
      <c r="A196" t="s">
        <v>484</v>
      </c>
      <c r="B196" s="508"/>
      <c r="C196" s="45">
        <f>E368</f>
        <v>728.74493927125502</v>
      </c>
      <c r="D196" s="5" t="s">
        <v>53</v>
      </c>
      <c r="E196" s="59">
        <f>(B196*C196+B197*C197+B198*C198)/SUM(C196:C198)</f>
        <v>5.1805181843034516E-2</v>
      </c>
      <c r="F196" s="133" t="s">
        <v>128</v>
      </c>
      <c r="G196" s="13" t="s">
        <v>134</v>
      </c>
      <c r="H196" s="75"/>
    </row>
    <row r="197" spans="1:8" x14ac:dyDescent="0.35">
      <c r="A197" t="s">
        <v>485</v>
      </c>
      <c r="B197" s="509">
        <v>1.8412862000000001</v>
      </c>
      <c r="C197" s="45">
        <f t="shared" ref="C197:C205" si="17">E369</f>
        <v>100</v>
      </c>
      <c r="D197" s="5" t="s">
        <v>54</v>
      </c>
      <c r="E197" s="60">
        <f>B199*C199/C199</f>
        <v>-0.90584779999999998</v>
      </c>
      <c r="H197" s="75"/>
    </row>
    <row r="198" spans="1:8" x14ac:dyDescent="0.35">
      <c r="A198" t="s">
        <v>487</v>
      </c>
      <c r="B198" s="509"/>
      <c r="C198" s="45">
        <f t="shared" si="17"/>
        <v>2725.5060728744938</v>
      </c>
      <c r="D198" s="5" t="s">
        <v>55</v>
      </c>
      <c r="E198" s="60">
        <f>(B200*C200+B202*C202+B203*C203+B204*C204+B205*C205)/(C200+SUM(C202:C205))</f>
        <v>-0.72721785146328921</v>
      </c>
      <c r="H198" s="75"/>
    </row>
    <row r="199" spans="1:8" ht="15" thickBot="1" x14ac:dyDescent="0.4">
      <c r="A199" t="s">
        <v>486</v>
      </c>
      <c r="B199" s="509">
        <v>-0.90584779999999998</v>
      </c>
      <c r="C199" s="45">
        <f t="shared" si="17"/>
        <v>100</v>
      </c>
      <c r="D199" s="5" t="s">
        <v>50</v>
      </c>
      <c r="E199" s="61">
        <f>B201*C201/C201</f>
        <v>-6.2999326</v>
      </c>
      <c r="H199" s="75"/>
    </row>
    <row r="200" spans="1:8" ht="15" thickTop="1" x14ac:dyDescent="0.35">
      <c r="A200" t="s">
        <v>488</v>
      </c>
      <c r="B200" s="509">
        <v>-0.444599999999999</v>
      </c>
      <c r="C200" s="45">
        <f t="shared" si="17"/>
        <v>27243.724696356272</v>
      </c>
      <c r="H200" s="75"/>
    </row>
    <row r="201" spans="1:8" x14ac:dyDescent="0.35">
      <c r="A201" t="s">
        <v>516</v>
      </c>
      <c r="B201" s="509">
        <v>-6.2999326</v>
      </c>
      <c r="C201" s="45">
        <f t="shared" si="17"/>
        <v>100</v>
      </c>
    </row>
    <row r="202" spans="1:8" x14ac:dyDescent="0.35">
      <c r="A202" t="s">
        <v>493</v>
      </c>
      <c r="B202" s="509">
        <v>-2.2519483999999999</v>
      </c>
      <c r="C202" s="45">
        <f t="shared" si="17"/>
        <v>6803.643724696356</v>
      </c>
    </row>
    <row r="203" spans="1:8" x14ac:dyDescent="0.35">
      <c r="A203" t="s">
        <v>490</v>
      </c>
      <c r="B203" s="509"/>
      <c r="C203" s="45">
        <f t="shared" si="17"/>
        <v>100</v>
      </c>
    </row>
    <row r="204" spans="1:8" x14ac:dyDescent="0.35">
      <c r="A204" t="s">
        <v>491</v>
      </c>
      <c r="B204" s="509"/>
      <c r="C204" s="45">
        <f t="shared" si="17"/>
        <v>100</v>
      </c>
    </row>
    <row r="205" spans="1:8" ht="15" thickBot="1" x14ac:dyDescent="0.4">
      <c r="A205" t="s">
        <v>494</v>
      </c>
      <c r="B205" s="510">
        <v>0.25223640000000003</v>
      </c>
      <c r="C205" s="45">
        <f t="shared" si="17"/>
        <v>2581.7611336032387</v>
      </c>
    </row>
    <row r="206" spans="1:8" ht="15" thickTop="1" x14ac:dyDescent="0.35">
      <c r="A206" s="82"/>
      <c r="C206" s="39"/>
    </row>
    <row r="208" spans="1:8" ht="18.5" x14ac:dyDescent="0.45">
      <c r="A208" s="64" t="s">
        <v>97</v>
      </c>
    </row>
    <row r="210" spans="1:10" x14ac:dyDescent="0.35">
      <c r="A210" t="s">
        <v>100</v>
      </c>
      <c r="B210" s="57"/>
      <c r="C210" s="58"/>
      <c r="D210" s="58"/>
      <c r="E210" s="58"/>
      <c r="F210" s="58"/>
      <c r="G210" s="56"/>
    </row>
    <row r="211" spans="1:10" x14ac:dyDescent="0.35">
      <c r="B211" s="57"/>
      <c r="C211" s="58"/>
      <c r="D211" s="58"/>
      <c r="E211" s="58"/>
      <c r="F211" s="58"/>
      <c r="G211" s="56"/>
    </row>
    <row r="212" spans="1:10" x14ac:dyDescent="0.35">
      <c r="A212" s="2" t="s">
        <v>504</v>
      </c>
      <c r="B212" s="57"/>
      <c r="C212" s="58"/>
      <c r="D212" s="84" t="s">
        <v>118</v>
      </c>
      <c r="E212" s="58"/>
      <c r="F212" s="58"/>
      <c r="G212" s="56"/>
    </row>
    <row r="214" spans="1:10" x14ac:dyDescent="0.35">
      <c r="B214" s="619" t="s">
        <v>94</v>
      </c>
      <c r="C214" s="619"/>
    </row>
    <row r="215" spans="1:10" x14ac:dyDescent="0.35">
      <c r="C215" s="497" t="s">
        <v>90</v>
      </c>
      <c r="D215" s="495"/>
      <c r="F215" s="627" t="s">
        <v>81</v>
      </c>
      <c r="G215" s="627"/>
      <c r="H215" s="627"/>
    </row>
    <row r="216" spans="1:10" ht="29.5" thickBot="1" x14ac:dyDescent="0.4">
      <c r="A216" s="494" t="s">
        <v>70</v>
      </c>
      <c r="B216" s="494" t="s">
        <v>71</v>
      </c>
      <c r="C216" s="496" t="s">
        <v>95</v>
      </c>
      <c r="D216" s="496" t="s">
        <v>84</v>
      </c>
      <c r="E216" s="496" t="s">
        <v>80</v>
      </c>
      <c r="F216" s="38" t="s">
        <v>83</v>
      </c>
      <c r="G216" s="626" t="s">
        <v>147</v>
      </c>
      <c r="H216" s="626"/>
    </row>
    <row r="217" spans="1:10" ht="15" thickTop="1" x14ac:dyDescent="0.35">
      <c r="A217" s="5" t="s">
        <v>484</v>
      </c>
      <c r="B217" s="5" t="s">
        <v>72</v>
      </c>
      <c r="C217" s="66">
        <v>27.888025931712995</v>
      </c>
      <c r="D217" s="63">
        <f>B$368/$F$367</f>
        <v>0</v>
      </c>
      <c r="E217" s="406">
        <f>IF(SUM(D217:D219)=0,0,(C217*D217+C218*D218+C219*D219)/SUM(D217:D219))</f>
        <v>57.957759583257399</v>
      </c>
      <c r="F217" s="36">
        <f>F121</f>
        <v>0.20503474199794963</v>
      </c>
      <c r="G217" s="5" t="s">
        <v>53</v>
      </c>
      <c r="H217" s="69">
        <f>E217*F217+E220*F220+E223*F223</f>
        <v>44.682421791754003</v>
      </c>
      <c r="I217" s="133" t="s">
        <v>128</v>
      </c>
      <c r="J217" s="13" t="s">
        <v>133</v>
      </c>
    </row>
    <row r="218" spans="1:10" x14ac:dyDescent="0.35">
      <c r="A218" s="5"/>
      <c r="B218" s="5" t="s">
        <v>73</v>
      </c>
      <c r="C218" s="67">
        <v>57.957759583257399</v>
      </c>
      <c r="D218" s="63">
        <f>C$368/$F$367</f>
        <v>1.7922217575721367E-2</v>
      </c>
      <c r="E218" s="406"/>
      <c r="F218" s="36"/>
      <c r="G218" s="5" t="s">
        <v>54</v>
      </c>
      <c r="H218" s="70">
        <f>E226*F226</f>
        <v>53.210604190261499</v>
      </c>
    </row>
    <row r="219" spans="1:10" x14ac:dyDescent="0.35">
      <c r="A219" s="5"/>
      <c r="B219" s="5" t="s">
        <v>74</v>
      </c>
      <c r="C219" s="67">
        <v>57.957759583257399</v>
      </c>
      <c r="D219" s="63">
        <f>D$368/$F$367</f>
        <v>0</v>
      </c>
      <c r="E219" s="406"/>
      <c r="F219" s="36"/>
      <c r="G219" s="5" t="s">
        <v>55</v>
      </c>
      <c r="H219" s="70">
        <f>E229*F229+E235*F235+E238*F238+E241*F241+E244*F244</f>
        <v>64.589116570301414</v>
      </c>
    </row>
    <row r="220" spans="1:10" ht="15" thickBot="1" x14ac:dyDescent="0.4">
      <c r="A220" s="5" t="s">
        <v>485</v>
      </c>
      <c r="B220" s="5" t="s">
        <v>72</v>
      </c>
      <c r="C220" s="67">
        <v>8.1096770254944985</v>
      </c>
      <c r="D220" s="63">
        <f>B$369/$F$367</f>
        <v>0</v>
      </c>
      <c r="E220" s="406">
        <f>IF(SUM(D220:D222)=0,0,(C220*D220+C221*D221+C222*D222)/SUM(D220:D222))</f>
        <v>37.313352217735812</v>
      </c>
      <c r="F220" s="36">
        <f>F124</f>
        <v>2.8135322929718647E-2</v>
      </c>
      <c r="G220" s="5" t="s">
        <v>50</v>
      </c>
      <c r="H220" s="71">
        <f>E232*F232</f>
        <v>32.372520375258404</v>
      </c>
    </row>
    <row r="221" spans="1:10" ht="15" thickTop="1" x14ac:dyDescent="0.35">
      <c r="A221" s="5" t="s">
        <v>500</v>
      </c>
      <c r="B221" s="5" t="s">
        <v>73</v>
      </c>
      <c r="C221" s="67">
        <v>37.313352217735812</v>
      </c>
      <c r="D221" s="63">
        <f>C$369/$F$367</f>
        <v>2.4593265228906548E-3</v>
      </c>
      <c r="E221" s="406"/>
      <c r="F221" s="36"/>
    </row>
    <row r="222" spans="1:10" x14ac:dyDescent="0.35">
      <c r="A222" s="5"/>
      <c r="B222" s="5" t="s">
        <v>74</v>
      </c>
      <c r="C222" s="67">
        <v>46.191505756932116</v>
      </c>
      <c r="D222" s="63">
        <f>D$369/$F$367</f>
        <v>0</v>
      </c>
      <c r="E222" s="406"/>
      <c r="F222" s="36"/>
    </row>
    <row r="223" spans="1:10" x14ac:dyDescent="0.35">
      <c r="A223" s="5" t="s">
        <v>487</v>
      </c>
      <c r="B223" s="5" t="s">
        <v>72</v>
      </c>
      <c r="C223" s="67">
        <v>39.399967154070204</v>
      </c>
      <c r="D223" s="63">
        <f>B$370/$F$367</f>
        <v>6.4569767210307272E-2</v>
      </c>
      <c r="E223" s="406">
        <f>IF(SUM(D223:D225)=0,0,(C223*D223+C224*D224+C225*D225)/SUM(D223:D225))</f>
        <v>41.403240591527684</v>
      </c>
      <c r="F223" s="36">
        <f>F127</f>
        <v>0.76682993507233166</v>
      </c>
    </row>
    <row r="224" spans="1:10" x14ac:dyDescent="0.35">
      <c r="A224" s="5" t="s">
        <v>499</v>
      </c>
      <c r="B224" s="5" t="s">
        <v>73</v>
      </c>
      <c r="C224" s="67">
        <v>93.999306348255601</v>
      </c>
      <c r="D224" s="63">
        <f>C$370/$F$367</f>
        <v>2.4593265228906548E-3</v>
      </c>
      <c r="E224" s="406"/>
      <c r="F224" s="36"/>
    </row>
    <row r="225" spans="1:7" x14ac:dyDescent="0.35">
      <c r="A225" s="5"/>
      <c r="B225" s="5" t="s">
        <v>74</v>
      </c>
      <c r="C225" s="67">
        <v>93.999306348255601</v>
      </c>
      <c r="D225" s="63">
        <f>D$370/$F$367</f>
        <v>0</v>
      </c>
      <c r="E225" s="406"/>
      <c r="F225" s="36"/>
    </row>
    <row r="226" spans="1:7" x14ac:dyDescent="0.35">
      <c r="A226" s="5" t="s">
        <v>486</v>
      </c>
      <c r="B226" s="5" t="s">
        <v>72</v>
      </c>
      <c r="C226" s="67">
        <v>25.002423581385194</v>
      </c>
      <c r="D226" s="63">
        <f>B$371/$F$367</f>
        <v>0</v>
      </c>
      <c r="E226" s="406">
        <f>IF(SUM(D226:D228)=0,0,(C226*D226+C227*D227+C228*D228)/SUM(D226:D228))</f>
        <v>53.210604190261499</v>
      </c>
      <c r="F226" s="36">
        <f>F130</f>
        <v>1</v>
      </c>
    </row>
    <row r="227" spans="1:7" x14ac:dyDescent="0.35">
      <c r="A227" s="5"/>
      <c r="B227" s="5" t="s">
        <v>73</v>
      </c>
      <c r="C227" s="67">
        <v>53.210604190261492</v>
      </c>
      <c r="D227" s="63">
        <f>C$371/$F$367</f>
        <v>2.4593265228906548E-3</v>
      </c>
      <c r="E227" s="406"/>
      <c r="F227" s="36"/>
    </row>
    <row r="228" spans="1:7" x14ac:dyDescent="0.35">
      <c r="A228" s="5"/>
      <c r="B228" s="5" t="s">
        <v>74</v>
      </c>
      <c r="C228" s="67">
        <v>53.210604190261492</v>
      </c>
      <c r="D228" s="63">
        <f>D$371/$F$367</f>
        <v>0</v>
      </c>
      <c r="E228" s="406"/>
      <c r="F228" s="36"/>
    </row>
    <row r="229" spans="1:7" x14ac:dyDescent="0.35">
      <c r="A229" s="5" t="s">
        <v>488</v>
      </c>
      <c r="B229" s="5" t="s">
        <v>72</v>
      </c>
      <c r="C229" s="67">
        <v>20.082274159837795</v>
      </c>
      <c r="D229" s="63">
        <f>B$372/$F$367</f>
        <v>0</v>
      </c>
      <c r="E229" s="406">
        <f>IF(SUM(D229:D231)=0,0,(C229*D229+C230*D230+C231*D231)/SUM(D229:D231))</f>
        <v>64.088713016498517</v>
      </c>
      <c r="F229" s="36">
        <f>F133</f>
        <v>0.73973305983041271</v>
      </c>
    </row>
    <row r="230" spans="1:7" x14ac:dyDescent="0.35">
      <c r="A230" s="5"/>
      <c r="B230" s="5" t="s">
        <v>73</v>
      </c>
      <c r="C230" s="67">
        <v>64.088713016498502</v>
      </c>
      <c r="D230" s="63">
        <f>C$372/$F$367</f>
        <v>0.43245315331461448</v>
      </c>
      <c r="E230" s="406"/>
      <c r="F230" s="36"/>
    </row>
    <row r="231" spans="1:7" x14ac:dyDescent="0.35">
      <c r="A231" s="5"/>
      <c r="B231" s="5" t="s">
        <v>74</v>
      </c>
      <c r="C231" s="67">
        <v>64.088713016498502</v>
      </c>
      <c r="D231" s="63">
        <f>D$372/$F$367</f>
        <v>0.23755899396618674</v>
      </c>
      <c r="E231" s="406"/>
      <c r="F231" s="36"/>
    </row>
    <row r="232" spans="1:7" x14ac:dyDescent="0.35">
      <c r="A232" s="5" t="s">
        <v>516</v>
      </c>
      <c r="B232" s="5" t="s">
        <v>72</v>
      </c>
      <c r="C232" s="67">
        <v>-13.590695255616502</v>
      </c>
      <c r="D232" s="63">
        <f>B$373/$F$367</f>
        <v>0</v>
      </c>
      <c r="E232" s="406">
        <f>IF(SUM(D232:D234)=0,0,(C232*D232+C233*D233+C234*D234)/SUM(D232:D234))</f>
        <v>32.372520375258404</v>
      </c>
      <c r="F232" s="36">
        <f>F136</f>
        <v>1</v>
      </c>
    </row>
    <row r="233" spans="1:7" x14ac:dyDescent="0.35">
      <c r="A233" s="5" t="s">
        <v>500</v>
      </c>
      <c r="B233" s="5" t="s">
        <v>73</v>
      </c>
      <c r="C233" s="67">
        <v>32.372520375258404</v>
      </c>
      <c r="D233" s="63">
        <f>C$373/$F$367</f>
        <v>2.4593265228906548E-3</v>
      </c>
      <c r="E233" s="406"/>
      <c r="F233" s="36"/>
    </row>
    <row r="234" spans="1:7" x14ac:dyDescent="0.35">
      <c r="B234" s="5" t="s">
        <v>74</v>
      </c>
      <c r="C234" s="67">
        <v>63.754106044279602</v>
      </c>
      <c r="D234" s="63">
        <f>D$373/$F$367</f>
        <v>0</v>
      </c>
      <c r="E234" s="406"/>
      <c r="F234" s="140"/>
      <c r="G234" s="138"/>
    </row>
    <row r="235" spans="1:7" x14ac:dyDescent="0.35">
      <c r="A235" s="5" t="s">
        <v>489</v>
      </c>
      <c r="B235" s="5" t="s">
        <v>72</v>
      </c>
      <c r="C235" s="67">
        <v>43.926092274166301</v>
      </c>
      <c r="D235" s="63">
        <f>B$374/$F$367</f>
        <v>0</v>
      </c>
      <c r="E235" s="406">
        <f>IF(SUM(D235:D237)=0,0,(C235*D235+C236*D236+C237*D237)/SUM(D235:D237))</f>
        <v>83.041632749391482</v>
      </c>
      <c r="F235" s="36">
        <f>F139</f>
        <v>0.18473539306975698</v>
      </c>
    </row>
    <row r="236" spans="1:7" x14ac:dyDescent="0.35">
      <c r="A236" s="504" t="s">
        <v>503</v>
      </c>
      <c r="B236" s="5" t="s">
        <v>73</v>
      </c>
      <c r="C236" s="67">
        <v>83.041632749391496</v>
      </c>
      <c r="D236" s="63">
        <f>C$374/$F$367</f>
        <v>9.6640579883306446E-2</v>
      </c>
      <c r="E236" s="406"/>
      <c r="F236" s="36"/>
    </row>
    <row r="237" spans="1:7" x14ac:dyDescent="0.35">
      <c r="B237" s="5" t="s">
        <v>74</v>
      </c>
      <c r="C237" s="67">
        <v>83.041632749391496</v>
      </c>
      <c r="D237" s="63">
        <f>D$374/$F$367</f>
        <v>7.0683234761136665E-2</v>
      </c>
      <c r="E237" s="505"/>
      <c r="F237" s="36"/>
    </row>
    <row r="238" spans="1:7" x14ac:dyDescent="0.35">
      <c r="A238" s="5" t="s">
        <v>490</v>
      </c>
      <c r="B238" s="5" t="s">
        <v>72</v>
      </c>
      <c r="C238" s="67">
        <v>24.832621085381803</v>
      </c>
      <c r="D238" s="63">
        <f>B$375/$F$367</f>
        <v>0</v>
      </c>
      <c r="E238" s="406">
        <f>IF(SUM(D238:D240)=0,0,(C238*D238+C239*D239+C240*D240)/SUM(D238:D240))</f>
        <v>58.426931152283991</v>
      </c>
      <c r="F238" s="36">
        <f>F142</f>
        <v>2.7152420165563809E-3</v>
      </c>
    </row>
    <row r="239" spans="1:7" x14ac:dyDescent="0.35">
      <c r="A239" s="5"/>
      <c r="B239" s="5" t="s">
        <v>73</v>
      </c>
      <c r="C239" s="67">
        <v>58.426931152283998</v>
      </c>
      <c r="D239" s="63">
        <f>C$375/$F$367</f>
        <v>2.4593265228906548E-3</v>
      </c>
      <c r="E239" s="505"/>
      <c r="F239" s="138"/>
    </row>
    <row r="240" spans="1:7" x14ac:dyDescent="0.35">
      <c r="A240" s="5"/>
      <c r="B240" s="5" t="s">
        <v>74</v>
      </c>
      <c r="C240" s="67">
        <v>58.426931152283998</v>
      </c>
      <c r="D240" s="63">
        <f>D$375/$F$367</f>
        <v>0</v>
      </c>
      <c r="E240" s="505"/>
      <c r="F240" s="138"/>
    </row>
    <row r="241" spans="1:10" x14ac:dyDescent="0.35">
      <c r="A241" s="5" t="s">
        <v>491</v>
      </c>
      <c r="B241" s="5" t="s">
        <v>72</v>
      </c>
      <c r="C241" s="67">
        <v>-2.6611619514192029</v>
      </c>
      <c r="D241" s="63">
        <f>B$376/$F$367</f>
        <v>0</v>
      </c>
      <c r="E241" s="406">
        <f>IF(SUM(D241:D243)=0,0,(C241*D241+C242*D242+C243*D243)/SUM(D241:D243))</f>
        <v>56.690329780656107</v>
      </c>
      <c r="F241" s="36">
        <f>F145</f>
        <v>2.7152420165563809E-3</v>
      </c>
    </row>
    <row r="242" spans="1:10" x14ac:dyDescent="0.35">
      <c r="A242" s="5"/>
      <c r="B242" s="5" t="s">
        <v>73</v>
      </c>
      <c r="C242" s="67">
        <v>56.6903297806561</v>
      </c>
      <c r="D242" s="63">
        <f>C$376/$F$367</f>
        <v>2.4593265228906548E-3</v>
      </c>
      <c r="E242" s="505"/>
      <c r="F242" s="138"/>
    </row>
    <row r="243" spans="1:10" x14ac:dyDescent="0.35">
      <c r="A243" s="5"/>
      <c r="B243" s="5" t="s">
        <v>74</v>
      </c>
      <c r="C243" s="67">
        <v>56.6903297806561</v>
      </c>
      <c r="D243" s="63">
        <f>D$376/$F$367</f>
        <v>0</v>
      </c>
      <c r="E243" s="505"/>
      <c r="F243" s="138"/>
    </row>
    <row r="244" spans="1:10" x14ac:dyDescent="0.35">
      <c r="A244" s="5" t="s">
        <v>492</v>
      </c>
      <c r="B244" s="5" t="s">
        <v>72</v>
      </c>
      <c r="C244" s="67">
        <v>20.082274159837795</v>
      </c>
      <c r="D244" s="63">
        <f>B$377/$F$367</f>
        <v>6.1034609793496224E-2</v>
      </c>
      <c r="E244" s="406">
        <f>IF(SUM(D244:D246)=0,0,(C244*D244+C245*D245+C246*D246)/SUM(D244:D246))</f>
        <v>21.786786567430013</v>
      </c>
      <c r="F244" s="36">
        <f>F148</f>
        <v>7.0101063066717456E-2</v>
      </c>
    </row>
    <row r="245" spans="1:10" x14ac:dyDescent="0.35">
      <c r="A245" s="5" t="s">
        <v>501</v>
      </c>
      <c r="B245" s="5" t="s">
        <v>73</v>
      </c>
      <c r="C245" s="67">
        <v>64.088713016498502</v>
      </c>
      <c r="D245" s="63">
        <f>C$377/$F$367</f>
        <v>2.4593265228906548E-3</v>
      </c>
      <c r="E245" s="505"/>
      <c r="F245" s="138"/>
    </row>
    <row r="246" spans="1:10" ht="15" thickBot="1" x14ac:dyDescent="0.4">
      <c r="B246" s="5" t="s">
        <v>74</v>
      </c>
      <c r="C246" s="68">
        <v>64.088713016498502</v>
      </c>
      <c r="D246" s="63">
        <f>D$377/$F$367</f>
        <v>0</v>
      </c>
      <c r="E246" s="406"/>
      <c r="F246" s="138"/>
    </row>
    <row r="247" spans="1:10" ht="15" thickTop="1" x14ac:dyDescent="0.35">
      <c r="B247" s="5"/>
      <c r="C247" s="110"/>
      <c r="D247" s="134"/>
      <c r="E247" s="141">
        <f>SUM(D217:D246)</f>
        <v>0.9980778421650035</v>
      </c>
      <c r="F247" s="133" t="s">
        <v>128</v>
      </c>
      <c r="G247" s="138" t="s">
        <v>130</v>
      </c>
    </row>
    <row r="248" spans="1:10" x14ac:dyDescent="0.35">
      <c r="D248" s="139"/>
      <c r="E248" s="140"/>
      <c r="F248" s="138"/>
    </row>
    <row r="249" spans="1:10" x14ac:dyDescent="0.35">
      <c r="A249" s="2" t="s">
        <v>505</v>
      </c>
      <c r="B249" s="57"/>
      <c r="C249" s="58"/>
      <c r="D249" s="58"/>
      <c r="E249" s="58"/>
      <c r="F249" s="58"/>
      <c r="G249" s="56"/>
    </row>
    <row r="251" spans="1:10" x14ac:dyDescent="0.35">
      <c r="B251" s="619" t="s">
        <v>94</v>
      </c>
      <c r="C251" s="619"/>
      <c r="D251" s="82" t="s">
        <v>106</v>
      </c>
    </row>
    <row r="252" spans="1:10" ht="14.5" customHeight="1" x14ac:dyDescent="0.35">
      <c r="C252" s="497" t="s">
        <v>90</v>
      </c>
      <c r="D252" s="495"/>
      <c r="F252" s="627" t="s">
        <v>81</v>
      </c>
      <c r="G252" s="627"/>
      <c r="H252" s="627"/>
    </row>
    <row r="253" spans="1:10" ht="29.5" customHeight="1" thickBot="1" x14ac:dyDescent="0.4">
      <c r="A253" s="494" t="s">
        <v>70</v>
      </c>
      <c r="B253" s="494" t="s">
        <v>71</v>
      </c>
      <c r="C253" s="496" t="s">
        <v>95</v>
      </c>
      <c r="D253" s="496" t="s">
        <v>84</v>
      </c>
      <c r="E253" s="496" t="s">
        <v>80</v>
      </c>
      <c r="F253" s="496" t="s">
        <v>83</v>
      </c>
      <c r="G253" s="626" t="s">
        <v>147</v>
      </c>
      <c r="H253" s="626"/>
    </row>
    <row r="254" spans="1:10" ht="15" thickTop="1" x14ac:dyDescent="0.35">
      <c r="A254" s="5" t="s">
        <v>484</v>
      </c>
      <c r="B254" s="5" t="s">
        <v>72</v>
      </c>
      <c r="C254" s="66">
        <v>19.394177495678299</v>
      </c>
      <c r="D254" s="63">
        <f>B$368/$F$367</f>
        <v>0</v>
      </c>
      <c r="E254" s="406">
        <f>IF(SUM(D254:D256)=0,0,(C254*D254+C255*D255+C256*D256)/SUM(D254:D256))</f>
        <v>-48.781069054715005</v>
      </c>
      <c r="F254" s="36">
        <f>F121</f>
        <v>0.20503474199794963</v>
      </c>
      <c r="G254" s="5" t="s">
        <v>53</v>
      </c>
      <c r="H254" s="69">
        <f>E254*F254+E257*F257+E260*F260</f>
        <v>-32.07006914840926</v>
      </c>
      <c r="I254" s="133" t="s">
        <v>128</v>
      </c>
      <c r="J254" s="13" t="s">
        <v>133</v>
      </c>
    </row>
    <row r="255" spans="1:10" x14ac:dyDescent="0.35">
      <c r="A255" s="5"/>
      <c r="B255" s="5" t="s">
        <v>73</v>
      </c>
      <c r="C255" s="67">
        <v>-48.781069054715005</v>
      </c>
      <c r="D255" s="63">
        <f>C$368/$F$367</f>
        <v>1.7922217575721367E-2</v>
      </c>
      <c r="E255" s="406"/>
      <c r="F255" s="36"/>
      <c r="G255" s="5" t="s">
        <v>54</v>
      </c>
      <c r="H255" s="70">
        <f>E263*F263</f>
        <v>-51.382312715855022</v>
      </c>
    </row>
    <row r="256" spans="1:10" x14ac:dyDescent="0.35">
      <c r="A256" s="5"/>
      <c r="B256" s="5" t="s">
        <v>74</v>
      </c>
      <c r="C256" s="67">
        <v>-48.781069054715005</v>
      </c>
      <c r="D256" s="63">
        <f>D$368/$F$367</f>
        <v>0</v>
      </c>
      <c r="E256" s="406"/>
      <c r="F256" s="36"/>
      <c r="G256" s="5" t="s">
        <v>55</v>
      </c>
      <c r="H256" s="70">
        <f>E266*F266+E272*F272+E275*F275+E278*F278+E281*F281</f>
        <v>-53.124692129314461</v>
      </c>
    </row>
    <row r="257" spans="1:8" ht="15" thickBot="1" x14ac:dyDescent="0.4">
      <c r="A257" s="5" t="s">
        <v>485</v>
      </c>
      <c r="B257" s="5" t="s">
        <v>72</v>
      </c>
      <c r="C257" s="67">
        <v>-37.051030385698702</v>
      </c>
      <c r="D257" s="63">
        <f>B$369/$F$367</f>
        <v>0</v>
      </c>
      <c r="E257" s="406">
        <f>IF(SUM(D257:D259)=0,0,(C257*D257+C258*D258+C259*D259)/SUM(D257:D259))</f>
        <v>-42.119237756765983</v>
      </c>
      <c r="F257" s="36">
        <f>F124</f>
        <v>2.8135322929718647E-2</v>
      </c>
      <c r="G257" s="5" t="s">
        <v>50</v>
      </c>
      <c r="H257" s="71">
        <f>E269*F269</f>
        <v>-60.968170124903985</v>
      </c>
    </row>
    <row r="258" spans="1:8" ht="15" thickTop="1" x14ac:dyDescent="0.35">
      <c r="A258" s="5" t="s">
        <v>500</v>
      </c>
      <c r="B258" s="5" t="s">
        <v>73</v>
      </c>
      <c r="C258" s="67">
        <v>-42.119237756765983</v>
      </c>
      <c r="D258" s="63">
        <f>C$369/$F$367</f>
        <v>2.4593265228906548E-3</v>
      </c>
      <c r="E258" s="406"/>
      <c r="F258" s="36"/>
    </row>
    <row r="259" spans="1:8" x14ac:dyDescent="0.35">
      <c r="A259" s="5"/>
      <c r="B259" s="5" t="s">
        <v>74</v>
      </c>
      <c r="C259" s="67">
        <v>-53.419746405601984</v>
      </c>
      <c r="D259" s="63">
        <f>D$369/$F$367</f>
        <v>0</v>
      </c>
      <c r="E259" s="406"/>
      <c r="F259" s="36"/>
    </row>
    <row r="260" spans="1:8" x14ac:dyDescent="0.35">
      <c r="A260" s="5" t="s">
        <v>487</v>
      </c>
      <c r="B260" s="5" t="s">
        <v>72</v>
      </c>
      <c r="C260" s="67">
        <v>-27.132015379920404</v>
      </c>
      <c r="D260" s="63">
        <f>B$370/$F$367</f>
        <v>6.4569767210307272E-2</v>
      </c>
      <c r="E260" s="406">
        <f>IF(SUM(D260:D262)=0,0,(C260*D260+C261*D261+C262*D262)/SUM(D260:D262))</f>
        <v>-27.233179000219351</v>
      </c>
      <c r="F260" s="36">
        <f>F127</f>
        <v>0.76682993507233166</v>
      </c>
    </row>
    <row r="261" spans="1:8" x14ac:dyDescent="0.35">
      <c r="A261" s="5" t="s">
        <v>499</v>
      </c>
      <c r="B261" s="5" t="s">
        <v>73</v>
      </c>
      <c r="C261" s="67">
        <v>-29.889235994708002</v>
      </c>
      <c r="D261" s="63">
        <f>C$370/$F$367</f>
        <v>2.4593265228906548E-3</v>
      </c>
      <c r="E261" s="406"/>
      <c r="F261" s="36"/>
    </row>
    <row r="262" spans="1:8" x14ac:dyDescent="0.35">
      <c r="A262" s="5"/>
      <c r="B262" s="5" t="s">
        <v>74</v>
      </c>
      <c r="C262" s="67">
        <v>-29.889235994708002</v>
      </c>
      <c r="D262" s="63">
        <f>D$370/$F$367</f>
        <v>0</v>
      </c>
      <c r="E262" s="406"/>
      <c r="F262" s="36"/>
    </row>
    <row r="263" spans="1:8" x14ac:dyDescent="0.35">
      <c r="A263" s="5" t="s">
        <v>486</v>
      </c>
      <c r="B263" s="5" t="s">
        <v>72</v>
      </c>
      <c r="C263" s="67">
        <v>-49.048144486543009</v>
      </c>
      <c r="D263" s="63">
        <f>B$371/$F$367</f>
        <v>0</v>
      </c>
      <c r="E263" s="406">
        <f>IF(SUM(D263:D265)=0,0,(C263*D263+C264*D264+C265*D265)/SUM(D263:D265))</f>
        <v>-51.382312715855022</v>
      </c>
      <c r="F263" s="36">
        <f>F130</f>
        <v>1</v>
      </c>
    </row>
    <row r="264" spans="1:8" x14ac:dyDescent="0.35">
      <c r="A264" s="5"/>
      <c r="B264" s="5" t="s">
        <v>73</v>
      </c>
      <c r="C264" s="67">
        <v>-51.382312715855022</v>
      </c>
      <c r="D264" s="63">
        <f>C$371/$F$367</f>
        <v>2.4593265228906548E-3</v>
      </c>
      <c r="E264" s="406"/>
      <c r="F264" s="36"/>
    </row>
    <row r="265" spans="1:8" x14ac:dyDescent="0.35">
      <c r="A265" s="5"/>
      <c r="B265" s="5" t="s">
        <v>74</v>
      </c>
      <c r="C265" s="67">
        <v>-51.382312715855022</v>
      </c>
      <c r="D265" s="63">
        <f>D$371/$F$367</f>
        <v>0</v>
      </c>
      <c r="E265" s="406"/>
      <c r="F265" s="36"/>
    </row>
    <row r="266" spans="1:8" x14ac:dyDescent="0.35">
      <c r="A266" s="5" t="s">
        <v>488</v>
      </c>
      <c r="B266" s="5" t="s">
        <v>72</v>
      </c>
      <c r="C266" s="67">
        <v>-52.508910111715792</v>
      </c>
      <c r="D266" s="63">
        <f>B$372/$F$367</f>
        <v>0</v>
      </c>
      <c r="E266" s="406">
        <f>IF(SUM(D266:D268)=0,0,(C266*D266+C267*D267+C268*D268)/SUM(D266:D268))</f>
        <v>-56.741993419414996</v>
      </c>
      <c r="F266" s="36">
        <f>F133</f>
        <v>0.73973305983041271</v>
      </c>
    </row>
    <row r="267" spans="1:8" x14ac:dyDescent="0.35">
      <c r="A267" s="5"/>
      <c r="B267" s="5" t="s">
        <v>73</v>
      </c>
      <c r="C267" s="67">
        <v>-56.741993419414996</v>
      </c>
      <c r="D267" s="63">
        <f>C$372/$F$367</f>
        <v>0.43245315331461448</v>
      </c>
      <c r="E267" s="406"/>
      <c r="F267" s="36"/>
    </row>
    <row r="268" spans="1:8" x14ac:dyDescent="0.35">
      <c r="A268" s="5"/>
      <c r="B268" s="5" t="s">
        <v>74</v>
      </c>
      <c r="C268" s="67">
        <v>-56.741993419414996</v>
      </c>
      <c r="D268" s="63">
        <f>D$372/$F$367</f>
        <v>0.23755899396618674</v>
      </c>
      <c r="E268" s="406"/>
      <c r="F268" s="36"/>
    </row>
    <row r="269" spans="1:8" x14ac:dyDescent="0.35">
      <c r="A269" s="5" t="s">
        <v>516</v>
      </c>
      <c r="B269" s="5" t="s">
        <v>72</v>
      </c>
      <c r="C269" s="67">
        <v>-47.535788040329805</v>
      </c>
      <c r="D269" s="63">
        <f>B$373/$F$367</f>
        <v>0</v>
      </c>
      <c r="E269" s="406">
        <f>IF(SUM(D269:D271)=0,0,(C269*D269+C270*D270+C271*D271)/SUM(D269:D271))</f>
        <v>-60.968170124903985</v>
      </c>
      <c r="F269" s="36">
        <f>F136</f>
        <v>1</v>
      </c>
    </row>
    <row r="270" spans="1:8" x14ac:dyDescent="0.35">
      <c r="A270" s="5" t="s">
        <v>500</v>
      </c>
      <c r="B270" s="5" t="s">
        <v>73</v>
      </c>
      <c r="C270" s="67">
        <v>-60.968170124903992</v>
      </c>
      <c r="D270" s="63">
        <f>C$373/$F$367</f>
        <v>2.4593265228906548E-3</v>
      </c>
      <c r="E270" s="406"/>
      <c r="F270" s="36"/>
    </row>
    <row r="271" spans="1:8" x14ac:dyDescent="0.35">
      <c r="B271" s="5" t="s">
        <v>74</v>
      </c>
      <c r="C271" s="67">
        <v>-73.31982679992899</v>
      </c>
      <c r="D271" s="63">
        <f>D$373/$F$367</f>
        <v>0</v>
      </c>
      <c r="E271" s="406"/>
      <c r="F271" s="140"/>
      <c r="G271" s="138"/>
    </row>
    <row r="272" spans="1:8" x14ac:dyDescent="0.35">
      <c r="A272" s="5" t="s">
        <v>489</v>
      </c>
      <c r="B272" s="5" t="s">
        <v>72</v>
      </c>
      <c r="C272" s="67">
        <v>-0.82595402796279416</v>
      </c>
      <c r="D272" s="63">
        <f>B$374/$F$367</f>
        <v>0</v>
      </c>
      <c r="E272" s="406">
        <f>IF(SUM(D272:D274)=0,0,(C272*D272+C273*D273+C274*D274)/SUM(D272:D274))</f>
        <v>-41.322087992310955</v>
      </c>
      <c r="F272" s="36">
        <f>F139</f>
        <v>0.18473539306975698</v>
      </c>
    </row>
    <row r="273" spans="1:7" x14ac:dyDescent="0.35">
      <c r="A273" s="504" t="s">
        <v>503</v>
      </c>
      <c r="B273" s="5" t="s">
        <v>73</v>
      </c>
      <c r="C273" s="67">
        <v>-36.742062006299989</v>
      </c>
      <c r="D273" s="63">
        <f>C$374/$F$367</f>
        <v>9.6640579883306446E-2</v>
      </c>
      <c r="E273" s="406"/>
      <c r="F273" s="36"/>
    </row>
    <row r="274" spans="1:7" x14ac:dyDescent="0.35">
      <c r="B274" s="5" t="s">
        <v>74</v>
      </c>
      <c r="C274" s="67">
        <v>-47.584059005161009</v>
      </c>
      <c r="D274" s="63">
        <f>D$374/$F$367</f>
        <v>7.0683234761136665E-2</v>
      </c>
      <c r="E274" s="505"/>
      <c r="F274" s="36"/>
    </row>
    <row r="275" spans="1:7" x14ac:dyDescent="0.35">
      <c r="A275" s="5" t="s">
        <v>490</v>
      </c>
      <c r="B275" s="5" t="s">
        <v>72</v>
      </c>
      <c r="C275" s="67">
        <v>-14.719558819596301</v>
      </c>
      <c r="D275" s="63">
        <f>B$375/$F$367</f>
        <v>0</v>
      </c>
      <c r="E275" s="406">
        <f>IF(SUM(D275:D277)=0,0,(C275*D275+C276*D276+C277*D277)/SUM(D275:D277))</f>
        <v>44.555578332982989</v>
      </c>
      <c r="F275" s="36">
        <f>F142</f>
        <v>2.7152420165563809E-3</v>
      </c>
    </row>
    <row r="276" spans="1:7" x14ac:dyDescent="0.35">
      <c r="A276" s="5"/>
      <c r="B276" s="5" t="s">
        <v>73</v>
      </c>
      <c r="C276" s="67">
        <v>44.555578332982989</v>
      </c>
      <c r="D276" s="63">
        <f>C$375/$F$367</f>
        <v>2.4593265228906548E-3</v>
      </c>
      <c r="E276" s="505"/>
      <c r="F276" s="138"/>
    </row>
    <row r="277" spans="1:7" x14ac:dyDescent="0.35">
      <c r="A277" s="5"/>
      <c r="B277" s="5" t="s">
        <v>74</v>
      </c>
      <c r="C277" s="67">
        <v>44.555578332982989</v>
      </c>
      <c r="D277" s="63">
        <f>D$375/$F$367</f>
        <v>0</v>
      </c>
      <c r="E277" s="505"/>
      <c r="F277" s="138"/>
    </row>
    <row r="278" spans="1:7" x14ac:dyDescent="0.35">
      <c r="A278" s="5" t="s">
        <v>491</v>
      </c>
      <c r="B278" s="5" t="s">
        <v>72</v>
      </c>
      <c r="C278" s="67">
        <v>-6.6362555170045994</v>
      </c>
      <c r="D278" s="63">
        <f>B$376/$F$367</f>
        <v>0</v>
      </c>
      <c r="E278" s="406">
        <f>IF(SUM(D278:D280)=0,0,(C278*D278+C279*D279+C280*D280)/SUM(D278:D280))</f>
        <v>20.010569112746992</v>
      </c>
      <c r="F278" s="36">
        <f>F145</f>
        <v>2.7152420165563809E-3</v>
      </c>
    </row>
    <row r="279" spans="1:7" x14ac:dyDescent="0.35">
      <c r="A279" s="5"/>
      <c r="B279" s="5" t="s">
        <v>73</v>
      </c>
      <c r="C279" s="67">
        <v>20.010569112746992</v>
      </c>
      <c r="D279" s="63">
        <f>C$376/$F$367</f>
        <v>2.4593265228906548E-3</v>
      </c>
      <c r="E279" s="505"/>
      <c r="F279" s="138"/>
    </row>
    <row r="280" spans="1:7" x14ac:dyDescent="0.35">
      <c r="A280" s="5"/>
      <c r="B280" s="5" t="s">
        <v>74</v>
      </c>
      <c r="C280" s="67">
        <v>20.010569112746992</v>
      </c>
      <c r="D280" s="63">
        <f>D$376/$F$367</f>
        <v>0</v>
      </c>
      <c r="E280" s="505"/>
      <c r="F280" s="138"/>
    </row>
    <row r="281" spans="1:7" x14ac:dyDescent="0.35">
      <c r="A281" s="5" t="s">
        <v>492</v>
      </c>
      <c r="B281" s="5" t="s">
        <v>72</v>
      </c>
      <c r="C281" s="67">
        <v>-52.508910111715792</v>
      </c>
      <c r="D281" s="63">
        <f>B$377/$F$367</f>
        <v>6.1034609793496224E-2</v>
      </c>
      <c r="E281" s="406">
        <f>IF(SUM(D281:D283)=0,0,(C281*D281+C282*D282+C283*D283)/SUM(D281:D283))</f>
        <v>-52.67287118668137</v>
      </c>
      <c r="F281" s="36">
        <f>F148</f>
        <v>7.0101063066717456E-2</v>
      </c>
    </row>
    <row r="282" spans="1:7" x14ac:dyDescent="0.35">
      <c r="A282" s="5" t="s">
        <v>501</v>
      </c>
      <c r="B282" s="5" t="s">
        <v>73</v>
      </c>
      <c r="C282" s="67">
        <v>-56.741993419414996</v>
      </c>
      <c r="D282" s="63">
        <f>C$377/$F$367</f>
        <v>2.4593265228906548E-3</v>
      </c>
      <c r="E282" s="140"/>
      <c r="F282" s="138"/>
    </row>
    <row r="283" spans="1:7" ht="15" thickBot="1" x14ac:dyDescent="0.4">
      <c r="B283" s="5" t="s">
        <v>74</v>
      </c>
      <c r="C283" s="68">
        <v>-56.741993419414996</v>
      </c>
      <c r="D283" s="63">
        <f>D$377/$F$367</f>
        <v>0</v>
      </c>
      <c r="F283" s="138"/>
    </row>
    <row r="284" spans="1:7" ht="15" thickTop="1" x14ac:dyDescent="0.35">
      <c r="B284" s="5"/>
      <c r="C284" s="110"/>
      <c r="D284" s="134"/>
      <c r="E284" s="141">
        <f>SUM(D254:D283)</f>
        <v>0.9980778421650035</v>
      </c>
      <c r="F284" s="133" t="s">
        <v>128</v>
      </c>
      <c r="G284" s="138" t="s">
        <v>130</v>
      </c>
    </row>
    <row r="285" spans="1:7" x14ac:dyDescent="0.35">
      <c r="C285" s="11"/>
      <c r="D285" s="139"/>
      <c r="E285" s="140"/>
      <c r="F285" s="138"/>
    </row>
    <row r="286" spans="1:7" x14ac:dyDescent="0.35">
      <c r="A286" s="2" t="s">
        <v>506</v>
      </c>
      <c r="B286" s="57"/>
      <c r="C286" s="58"/>
      <c r="D286" s="84"/>
      <c r="E286" s="58"/>
      <c r="F286" s="58"/>
      <c r="G286" s="56"/>
    </row>
    <row r="288" spans="1:7" x14ac:dyDescent="0.35">
      <c r="B288" s="619" t="s">
        <v>94</v>
      </c>
      <c r="C288" s="619"/>
      <c r="D288" s="82" t="s">
        <v>106</v>
      </c>
    </row>
    <row r="289" spans="1:10" ht="14.5" customHeight="1" x14ac:dyDescent="0.35">
      <c r="C289" s="497" t="s">
        <v>90</v>
      </c>
      <c r="D289" s="495"/>
      <c r="F289" s="627" t="s">
        <v>81</v>
      </c>
      <c r="G289" s="627"/>
      <c r="H289" s="627"/>
    </row>
    <row r="290" spans="1:10" ht="29.5" customHeight="1" thickBot="1" x14ac:dyDescent="0.4">
      <c r="A290" s="494" t="s">
        <v>70</v>
      </c>
      <c r="B290" s="494" t="s">
        <v>71</v>
      </c>
      <c r="C290" s="496" t="s">
        <v>95</v>
      </c>
      <c r="D290" s="496" t="s">
        <v>84</v>
      </c>
      <c r="E290" s="496" t="s">
        <v>80</v>
      </c>
      <c r="F290" s="496" t="s">
        <v>83</v>
      </c>
      <c r="G290" s="626" t="s">
        <v>147</v>
      </c>
      <c r="H290" s="626"/>
    </row>
    <row r="291" spans="1:10" ht="15" thickTop="1" x14ac:dyDescent="0.35">
      <c r="A291" s="5" t="s">
        <v>484</v>
      </c>
      <c r="B291" s="5" t="s">
        <v>72</v>
      </c>
      <c r="C291" s="66">
        <v>0.40238902179439151</v>
      </c>
      <c r="D291" s="63">
        <f>B$368/$F$367</f>
        <v>0</v>
      </c>
      <c r="E291" s="406">
        <f>IF(SUM(D291:D293)=0,0,(C291*D291+C292*D292+C293*D293)/SUM(D291:D293))</f>
        <v>42.685538178230999</v>
      </c>
      <c r="F291" s="36">
        <f>F121</f>
        <v>0.20503474199794963</v>
      </c>
      <c r="G291" s="5" t="s">
        <v>53</v>
      </c>
      <c r="H291" s="69">
        <f>E291*F291+E294*F294+E297*F297</f>
        <v>7.1636005227373563</v>
      </c>
      <c r="I291" s="133" t="s">
        <v>128</v>
      </c>
      <c r="J291" s="13" t="s">
        <v>133</v>
      </c>
    </row>
    <row r="292" spans="1:10" x14ac:dyDescent="0.35">
      <c r="A292" s="5"/>
      <c r="B292" s="5" t="s">
        <v>73</v>
      </c>
      <c r="C292" s="67">
        <v>42.685538178230999</v>
      </c>
      <c r="D292" s="63">
        <f>C$368/$F$367</f>
        <v>1.7922217575721367E-2</v>
      </c>
      <c r="E292" s="406"/>
      <c r="F292" s="36"/>
      <c r="G292" s="5" t="s">
        <v>54</v>
      </c>
      <c r="H292" s="70">
        <f>E300*F300</f>
        <v>23.662075270550986</v>
      </c>
    </row>
    <row r="293" spans="1:10" x14ac:dyDescent="0.35">
      <c r="A293" s="5"/>
      <c r="B293" s="5" t="s">
        <v>74</v>
      </c>
      <c r="C293" s="67">
        <v>42.685538178230999</v>
      </c>
      <c r="D293" s="63">
        <f>D$368/$F$367</f>
        <v>0</v>
      </c>
      <c r="E293" s="406"/>
      <c r="F293" s="36"/>
      <c r="G293" s="5" t="s">
        <v>55</v>
      </c>
      <c r="H293" s="70">
        <f>E303*F303+E309*F309+E312*F312+E315*F315+E318*F318</f>
        <v>54.62952506683159</v>
      </c>
    </row>
    <row r="294" spans="1:10" ht="15" thickBot="1" x14ac:dyDescent="0.4">
      <c r="A294" s="5" t="s">
        <v>485</v>
      </c>
      <c r="B294" s="5" t="s">
        <v>72</v>
      </c>
      <c r="C294" s="67">
        <v>-22.533825634890995</v>
      </c>
      <c r="D294" s="63">
        <f>B$369/$F$367</f>
        <v>0</v>
      </c>
      <c r="E294" s="406">
        <f>IF(SUM(D294:D296)=0,0,(C294*D294+C295*D295+C296*D296)/SUM(D294:D296))</f>
        <v>19.851802557273302</v>
      </c>
      <c r="F294" s="36">
        <f>F124</f>
        <v>2.8135322929718647E-2</v>
      </c>
      <c r="G294" s="5" t="s">
        <v>50</v>
      </c>
      <c r="H294" s="71">
        <f>E306*F306</f>
        <v>-60.968170124903985</v>
      </c>
    </row>
    <row r="295" spans="1:10" ht="15" thickTop="1" x14ac:dyDescent="0.35">
      <c r="A295" s="5" t="s">
        <v>500</v>
      </c>
      <c r="B295" s="5" t="s">
        <v>73</v>
      </c>
      <c r="C295" s="67">
        <v>19.851802557273302</v>
      </c>
      <c r="D295" s="63">
        <f>C$369/$F$367</f>
        <v>2.4593265228906548E-3</v>
      </c>
      <c r="E295" s="406"/>
      <c r="F295" s="36"/>
    </row>
    <row r="296" spans="1:10" x14ac:dyDescent="0.35">
      <c r="A296" s="5"/>
      <c r="B296" s="5" t="s">
        <v>74</v>
      </c>
      <c r="C296" s="67">
        <v>-53.419746405601984</v>
      </c>
      <c r="D296" s="63">
        <f>D$369/$F$367</f>
        <v>0</v>
      </c>
      <c r="E296" s="406"/>
      <c r="F296" s="36"/>
    </row>
    <row r="297" spans="1:10" x14ac:dyDescent="0.35">
      <c r="A297" s="5" t="s">
        <v>487</v>
      </c>
      <c r="B297" s="5" t="s">
        <v>72</v>
      </c>
      <c r="C297" s="67">
        <v>-4.2563123739283952</v>
      </c>
      <c r="D297" s="63">
        <f>B$370/$F$367</f>
        <v>6.4569767210307272E-2</v>
      </c>
      <c r="E297" s="406">
        <f>IF(SUM(D297:D299)=0,0,(C297*D297+C298*D298+C299*D299)/SUM(D297:D299))</f>
        <v>-2.7997794063207144</v>
      </c>
      <c r="F297" s="36">
        <f>F127</f>
        <v>0.76682993507233166</v>
      </c>
    </row>
    <row r="298" spans="1:10" x14ac:dyDescent="0.35">
      <c r="A298" s="5" t="s">
        <v>499</v>
      </c>
      <c r="B298" s="5" t="s">
        <v>73</v>
      </c>
      <c r="C298" s="67">
        <v>35.441582111638013</v>
      </c>
      <c r="D298" s="63">
        <f>C$370/$F$367</f>
        <v>2.4593265228906548E-3</v>
      </c>
      <c r="E298" s="406"/>
      <c r="F298" s="36"/>
    </row>
    <row r="299" spans="1:10" x14ac:dyDescent="0.35">
      <c r="A299" s="5"/>
      <c r="B299" s="5" t="s">
        <v>74</v>
      </c>
      <c r="C299" s="67">
        <v>35.441582111638013</v>
      </c>
      <c r="D299" s="63">
        <f>D$370/$F$367</f>
        <v>0</v>
      </c>
      <c r="E299" s="406"/>
      <c r="F299" s="36"/>
    </row>
    <row r="300" spans="1:10" x14ac:dyDescent="0.35">
      <c r="A300" s="5" t="s">
        <v>486</v>
      </c>
      <c r="B300" s="5" t="s">
        <v>72</v>
      </c>
      <c r="C300" s="67">
        <v>-5.6721122530331058</v>
      </c>
      <c r="D300" s="63">
        <f>B$371/$F$367</f>
        <v>0</v>
      </c>
      <c r="E300" s="406">
        <f>IF(SUM(D300:D302)=0,0,(C300*D300+C301*D301+C302*D302)/SUM(D300:D302))</f>
        <v>23.662075270550986</v>
      </c>
      <c r="F300" s="36">
        <f>F130</f>
        <v>1</v>
      </c>
    </row>
    <row r="301" spans="1:10" x14ac:dyDescent="0.35">
      <c r="A301" s="5"/>
      <c r="B301" s="5" t="s">
        <v>73</v>
      </c>
      <c r="C301" s="67">
        <v>23.662075270550986</v>
      </c>
      <c r="D301" s="63">
        <f>C$371/$F$367</f>
        <v>2.4593265228906548E-3</v>
      </c>
      <c r="E301" s="406"/>
      <c r="F301" s="36"/>
    </row>
    <row r="302" spans="1:10" x14ac:dyDescent="0.35">
      <c r="A302" s="5"/>
      <c r="B302" s="5" t="s">
        <v>74</v>
      </c>
      <c r="C302" s="67">
        <v>23.662075270550986</v>
      </c>
      <c r="D302" s="63">
        <f>D$371/$F$367</f>
        <v>0</v>
      </c>
      <c r="E302" s="406"/>
      <c r="F302" s="36"/>
    </row>
    <row r="303" spans="1:10" x14ac:dyDescent="0.35">
      <c r="A303" s="5" t="s">
        <v>488</v>
      </c>
      <c r="B303" s="5" t="s">
        <v>72</v>
      </c>
      <c r="C303" s="67">
        <v>7.1243086009674954</v>
      </c>
      <c r="D303" s="63">
        <f>B$372/$F$367</f>
        <v>0</v>
      </c>
      <c r="E303" s="406">
        <f>IF(SUM(D303:D305)=0,0,(C303*D303+C304*D304+C305*D305)/SUM(D303:D305))</f>
        <v>67.341766323338504</v>
      </c>
      <c r="F303" s="36">
        <f>F133</f>
        <v>0.73973305983041271</v>
      </c>
    </row>
    <row r="304" spans="1:10" x14ac:dyDescent="0.35">
      <c r="A304" s="5"/>
      <c r="B304" s="5" t="s">
        <v>73</v>
      </c>
      <c r="C304" s="67">
        <v>67.341766323338504</v>
      </c>
      <c r="D304" s="63">
        <f>C$372/$F$367</f>
        <v>0.43245315331461448</v>
      </c>
      <c r="E304" s="406"/>
      <c r="F304" s="36"/>
    </row>
    <row r="305" spans="1:7" x14ac:dyDescent="0.35">
      <c r="A305" s="5"/>
      <c r="B305" s="5" t="s">
        <v>74</v>
      </c>
      <c r="C305" s="67">
        <v>67.341766323338504</v>
      </c>
      <c r="D305" s="63">
        <f>D$372/$F$367</f>
        <v>0.23755899396618674</v>
      </c>
      <c r="E305" s="406"/>
      <c r="F305" s="36"/>
    </row>
    <row r="306" spans="1:7" x14ac:dyDescent="0.35">
      <c r="A306" s="5" t="s">
        <v>516</v>
      </c>
      <c r="B306" s="5" t="s">
        <v>72</v>
      </c>
      <c r="C306" s="67">
        <v>-21.402140489735601</v>
      </c>
      <c r="D306" s="63">
        <f>B$373/$F$367</f>
        <v>0</v>
      </c>
      <c r="E306" s="406">
        <f>IF(SUM(D306:D308)=0,0,(C306*D306+C307*D307+C308*D308)/SUM(D306:D308))</f>
        <v>-60.968170124903985</v>
      </c>
      <c r="F306" s="36">
        <f>F136</f>
        <v>1</v>
      </c>
    </row>
    <row r="307" spans="1:7" x14ac:dyDescent="0.35">
      <c r="A307" s="5" t="s">
        <v>500</v>
      </c>
      <c r="B307" s="5" t="s">
        <v>73</v>
      </c>
      <c r="C307" s="67">
        <v>-60.968170124903992</v>
      </c>
      <c r="D307" s="63">
        <f>C$373/$F$367</f>
        <v>2.4593265228906548E-3</v>
      </c>
      <c r="E307" s="406"/>
      <c r="F307" s="36"/>
    </row>
    <row r="308" spans="1:7" x14ac:dyDescent="0.35">
      <c r="B308" s="5" t="s">
        <v>74</v>
      </c>
      <c r="C308" s="67">
        <v>-73.31982679992899</v>
      </c>
      <c r="D308" s="63">
        <f>D$373/$F$367</f>
        <v>0</v>
      </c>
      <c r="E308" s="406"/>
      <c r="F308" s="140"/>
      <c r="G308" s="138"/>
    </row>
    <row r="309" spans="1:7" x14ac:dyDescent="0.35">
      <c r="A309" s="5" t="s">
        <v>489</v>
      </c>
      <c r="B309" s="5" t="s">
        <v>72</v>
      </c>
      <c r="C309" s="67">
        <v>32.613617181295197</v>
      </c>
      <c r="D309" s="63">
        <f>B$374/$F$367</f>
        <v>0</v>
      </c>
      <c r="E309" s="406">
        <f>IF(SUM(D309:D311)=0,0,(C309*D309+C310*D310+C311*D311)/SUM(D309:D311))</f>
        <v>22.344351776042949</v>
      </c>
      <c r="F309" s="36">
        <f>F139</f>
        <v>0.18473539306975698</v>
      </c>
    </row>
    <row r="310" spans="1:7" x14ac:dyDescent="0.35">
      <c r="A310" s="504" t="s">
        <v>503</v>
      </c>
      <c r="B310" s="5" t="s">
        <v>73</v>
      </c>
      <c r="C310" s="67">
        <v>24.652474025520007</v>
      </c>
      <c r="D310" s="63">
        <f>C$374/$F$367</f>
        <v>9.6640579883306446E-2</v>
      </c>
      <c r="E310" s="406"/>
      <c r="F310" s="36"/>
    </row>
    <row r="311" spans="1:7" x14ac:dyDescent="0.35">
      <c r="B311" s="5" t="s">
        <v>74</v>
      </c>
      <c r="C311" s="67">
        <v>19.188606663572983</v>
      </c>
      <c r="D311" s="63">
        <f>D$374/$F$367</f>
        <v>7.0683234761136665E-2</v>
      </c>
      <c r="E311" s="505"/>
      <c r="F311" s="36"/>
    </row>
    <row r="312" spans="1:7" x14ac:dyDescent="0.35">
      <c r="A312" s="5" t="s">
        <v>490</v>
      </c>
      <c r="B312" s="5" t="s">
        <v>72</v>
      </c>
      <c r="C312" s="67">
        <v>-6.00755797688619</v>
      </c>
      <c r="D312" s="63">
        <f>B$375/$F$367</f>
        <v>0</v>
      </c>
      <c r="E312" s="406">
        <f>IF(SUM(D312:D314)=0,0,(C312*D312+C313*D313+C314*D314)/SUM(D312:D314))</f>
        <v>60.870786438869999</v>
      </c>
      <c r="F312" s="36">
        <f>F142</f>
        <v>2.7152420165563809E-3</v>
      </c>
    </row>
    <row r="313" spans="1:7" x14ac:dyDescent="0.35">
      <c r="A313" s="5"/>
      <c r="B313" s="5" t="s">
        <v>73</v>
      </c>
      <c r="C313" s="67">
        <v>60.870786438869999</v>
      </c>
      <c r="D313" s="63">
        <f>C$375/$F$367</f>
        <v>2.4593265228906548E-3</v>
      </c>
      <c r="E313" s="505"/>
      <c r="F313" s="138"/>
    </row>
    <row r="314" spans="1:7" x14ac:dyDescent="0.35">
      <c r="A314" s="5"/>
      <c r="B314" s="5" t="s">
        <v>74</v>
      </c>
      <c r="C314" s="67">
        <v>60.870786438869999</v>
      </c>
      <c r="D314" s="63">
        <f>D$375/$F$367</f>
        <v>0</v>
      </c>
      <c r="E314" s="505"/>
      <c r="F314" s="138"/>
    </row>
    <row r="315" spans="1:7" x14ac:dyDescent="0.35">
      <c r="A315" s="5" t="s">
        <v>491</v>
      </c>
      <c r="B315" s="5" t="s">
        <v>72</v>
      </c>
      <c r="C315" s="67">
        <v>-5.8371619922503015</v>
      </c>
      <c r="D315" s="63">
        <f>B$376/$F$367</f>
        <v>0</v>
      </c>
      <c r="E315" s="406">
        <f>IF(SUM(D315:D317)=0,0,(C315*D315+C316*D316+C317*D317)/SUM(D315:D317))</f>
        <v>-52.077822931090992</v>
      </c>
      <c r="F315" s="36">
        <f>F145</f>
        <v>2.7152420165563809E-3</v>
      </c>
    </row>
    <row r="316" spans="1:7" x14ac:dyDescent="0.35">
      <c r="A316" s="5"/>
      <c r="B316" s="5" t="s">
        <v>73</v>
      </c>
      <c r="C316" s="67">
        <v>-52.077822931090992</v>
      </c>
      <c r="D316" s="63">
        <f>C$376/$F$367</f>
        <v>2.4593265228906548E-3</v>
      </c>
      <c r="E316" s="505"/>
      <c r="F316" s="138"/>
    </row>
    <row r="317" spans="1:7" x14ac:dyDescent="0.35">
      <c r="A317" s="5"/>
      <c r="B317" s="5" t="s">
        <v>74</v>
      </c>
      <c r="C317" s="67">
        <v>-52.077822931090992</v>
      </c>
      <c r="D317" s="63">
        <f>D$376/$F$367</f>
        <v>0</v>
      </c>
      <c r="E317" s="505"/>
      <c r="F317" s="138"/>
    </row>
    <row r="318" spans="1:7" x14ac:dyDescent="0.35">
      <c r="A318" s="5" t="s">
        <v>492</v>
      </c>
      <c r="B318" s="5" t="s">
        <v>72</v>
      </c>
      <c r="C318" s="67">
        <v>7.1243086009674954</v>
      </c>
      <c r="D318" s="63">
        <f>B$377/$F$367</f>
        <v>6.1034609793496224E-2</v>
      </c>
      <c r="E318" s="406">
        <f>IF(SUM(D318:D320)=0,0,(C318*D318+C319*D319+C320*D320)/SUM(D318:D320))</f>
        <v>9.4567264586307438</v>
      </c>
      <c r="F318" s="36">
        <f>F148</f>
        <v>7.0101063066717456E-2</v>
      </c>
    </row>
    <row r="319" spans="1:7" x14ac:dyDescent="0.35">
      <c r="A319" s="5" t="s">
        <v>501</v>
      </c>
      <c r="B319" s="5" t="s">
        <v>73</v>
      </c>
      <c r="C319" s="67">
        <v>67.341766323338504</v>
      </c>
      <c r="D319" s="63">
        <f>C$377/$F$367</f>
        <v>2.4593265228906548E-3</v>
      </c>
      <c r="E319" s="140"/>
      <c r="F319" s="138"/>
    </row>
    <row r="320" spans="1:7" ht="15" thickBot="1" x14ac:dyDescent="0.4">
      <c r="B320" s="5" t="s">
        <v>74</v>
      </c>
      <c r="C320" s="68">
        <v>67.341766323338504</v>
      </c>
      <c r="D320" s="63">
        <f>D$377/$F$367</f>
        <v>0</v>
      </c>
      <c r="F320" s="138"/>
    </row>
    <row r="321" spans="1:10" ht="15" thickTop="1" x14ac:dyDescent="0.35">
      <c r="B321" s="5"/>
      <c r="C321" s="110"/>
      <c r="D321" s="134"/>
      <c r="E321" s="141">
        <f>SUM(D291:D320)</f>
        <v>0.9980778421650035</v>
      </c>
      <c r="F321" s="133" t="s">
        <v>128</v>
      </c>
      <c r="G321" s="138" t="s">
        <v>130</v>
      </c>
    </row>
    <row r="322" spans="1:10" x14ac:dyDescent="0.35">
      <c r="C322" s="11"/>
      <c r="D322" s="139"/>
      <c r="E322" s="140"/>
      <c r="F322" s="138"/>
    </row>
    <row r="323" spans="1:10" x14ac:dyDescent="0.35">
      <c r="A323" s="2" t="s">
        <v>507</v>
      </c>
      <c r="B323" s="57"/>
      <c r="C323" s="58"/>
      <c r="D323" s="58"/>
      <c r="E323" s="58"/>
      <c r="F323" s="58"/>
      <c r="G323" s="56"/>
    </row>
    <row r="325" spans="1:10" x14ac:dyDescent="0.35">
      <c r="B325" s="619" t="s">
        <v>94</v>
      </c>
      <c r="C325" s="619"/>
      <c r="D325" s="82" t="s">
        <v>106</v>
      </c>
    </row>
    <row r="326" spans="1:10" ht="14.5" customHeight="1" x14ac:dyDescent="0.35">
      <c r="C326" s="497" t="s">
        <v>90</v>
      </c>
      <c r="D326" s="495"/>
      <c r="F326" s="627" t="s">
        <v>81</v>
      </c>
      <c r="G326" s="627"/>
      <c r="H326" s="627"/>
    </row>
    <row r="327" spans="1:10" ht="29.5" customHeight="1" thickBot="1" x14ac:dyDescent="0.4">
      <c r="A327" s="494" t="s">
        <v>70</v>
      </c>
      <c r="B327" s="494" t="s">
        <v>71</v>
      </c>
      <c r="C327" s="496" t="s">
        <v>95</v>
      </c>
      <c r="D327" s="496" t="s">
        <v>84</v>
      </c>
      <c r="E327" s="496" t="s">
        <v>80</v>
      </c>
      <c r="F327" s="496" t="s">
        <v>83</v>
      </c>
      <c r="G327" s="626" t="s">
        <v>147</v>
      </c>
      <c r="H327" s="626"/>
    </row>
    <row r="328" spans="1:10" ht="15" thickTop="1" x14ac:dyDescent="0.35">
      <c r="A328" s="5" t="s">
        <v>484</v>
      </c>
      <c r="B328" s="5" t="s">
        <v>72</v>
      </c>
      <c r="C328" s="66">
        <v>32.145070127616293</v>
      </c>
      <c r="D328" s="63">
        <f>B$368/$F$367</f>
        <v>0</v>
      </c>
      <c r="E328" s="406">
        <f>IF(SUM(D328:D330)=0,0,(C328*D328+C329*D329+C330*D330)/SUM(D328:D330))</f>
        <v>89.181184270118308</v>
      </c>
      <c r="F328" s="36">
        <f>F121</f>
        <v>0.20503474199794963</v>
      </c>
      <c r="G328" s="5" t="s">
        <v>53</v>
      </c>
      <c r="H328" s="69">
        <f>E328*F328+E331*F331+E334*F334</f>
        <v>45.222574911093218</v>
      </c>
      <c r="I328" s="133" t="s">
        <v>128</v>
      </c>
      <c r="J328" s="13" t="s">
        <v>133</v>
      </c>
    </row>
    <row r="329" spans="1:10" x14ac:dyDescent="0.35">
      <c r="A329" s="5"/>
      <c r="B329" s="5" t="s">
        <v>73</v>
      </c>
      <c r="C329" s="67">
        <v>89.181184270118308</v>
      </c>
      <c r="D329" s="63">
        <f>C$368/$F$367</f>
        <v>1.7922217575721367E-2</v>
      </c>
      <c r="E329" s="406"/>
      <c r="F329" s="36"/>
      <c r="G329" s="5" t="s">
        <v>54</v>
      </c>
      <c r="H329" s="70">
        <f>E337*F337</f>
        <v>77.796591670279184</v>
      </c>
    </row>
    <row r="330" spans="1:10" x14ac:dyDescent="0.35">
      <c r="A330" s="5"/>
      <c r="B330" s="5" t="s">
        <v>74</v>
      </c>
      <c r="C330" s="67">
        <v>89.181184270118308</v>
      </c>
      <c r="D330" s="63">
        <f>D$368/$F$367</f>
        <v>0</v>
      </c>
      <c r="E330" s="406"/>
      <c r="F330" s="36"/>
      <c r="G330" s="5" t="s">
        <v>55</v>
      </c>
      <c r="H330" s="70">
        <f>E340*F340+E346*F346+E349*F349+E352*F352+E355*F355</f>
        <v>91.123168765515715</v>
      </c>
    </row>
    <row r="331" spans="1:10" ht="15" thickBot="1" x14ac:dyDescent="0.4">
      <c r="A331" s="5" t="s">
        <v>485</v>
      </c>
      <c r="B331" s="5" t="s">
        <v>72</v>
      </c>
      <c r="C331" s="67">
        <v>11.511774855826701</v>
      </c>
      <c r="D331" s="63">
        <f>B$369/$F$367</f>
        <v>0</v>
      </c>
      <c r="E331" s="406">
        <f>IF(SUM(D331:D333)=0,0,(C331*D331+C332*D332+C333*D333)/SUM(D331:D333))</f>
        <v>51.432573574398901</v>
      </c>
      <c r="F331" s="36">
        <f>F124</f>
        <v>2.8135322929718647E-2</v>
      </c>
      <c r="G331" s="5" t="s">
        <v>50</v>
      </c>
      <c r="H331" s="71">
        <f>E343*F343</f>
        <v>42.638381497508803</v>
      </c>
    </row>
    <row r="332" spans="1:10" ht="15" thickTop="1" x14ac:dyDescent="0.35">
      <c r="A332" s="5" t="s">
        <v>500</v>
      </c>
      <c r="B332" s="5" t="s">
        <v>73</v>
      </c>
      <c r="C332" s="67">
        <v>51.432573574398909</v>
      </c>
      <c r="D332" s="63">
        <f>C$369/$F$367</f>
        <v>2.4593265228906548E-3</v>
      </c>
      <c r="E332" s="406"/>
      <c r="F332" s="36"/>
    </row>
    <row r="333" spans="1:10" x14ac:dyDescent="0.35">
      <c r="A333" s="5"/>
      <c r="B333" s="5" t="s">
        <v>74</v>
      </c>
      <c r="C333" s="67">
        <v>72.563984839978119</v>
      </c>
      <c r="D333" s="63">
        <f>D$369/$F$367</f>
        <v>0</v>
      </c>
      <c r="E333" s="406"/>
      <c r="F333" s="36"/>
    </row>
    <row r="334" spans="1:10" x14ac:dyDescent="0.35">
      <c r="A334" s="5" t="s">
        <v>487</v>
      </c>
      <c r="B334" s="5" t="s">
        <v>72</v>
      </c>
      <c r="C334" s="67">
        <v>31.163323605779297</v>
      </c>
      <c r="D334" s="63">
        <f>B$370/$F$367</f>
        <v>6.4569767210307272E-2</v>
      </c>
      <c r="E334" s="406">
        <f>IF(SUM(D334:D336)=0,0,(C334*D334+C335*D335+C336*D336)/SUM(D334:D336))</f>
        <v>33.241088500504745</v>
      </c>
      <c r="F334" s="36">
        <f>F127</f>
        <v>0.76682993507233166</v>
      </c>
    </row>
    <row r="335" spans="1:10" x14ac:dyDescent="0.35">
      <c r="A335" s="5" t="s">
        <v>499</v>
      </c>
      <c r="B335" s="5" t="s">
        <v>73</v>
      </c>
      <c r="C335" s="67">
        <v>87.792931991575898</v>
      </c>
      <c r="D335" s="63">
        <f>C$370/$F$367</f>
        <v>2.4593265228906548E-3</v>
      </c>
      <c r="E335" s="406"/>
      <c r="F335" s="36"/>
    </row>
    <row r="336" spans="1:10" x14ac:dyDescent="0.35">
      <c r="A336" s="5"/>
      <c r="B336" s="5" t="s">
        <v>74</v>
      </c>
      <c r="C336" s="67">
        <v>87.792931991575898</v>
      </c>
      <c r="D336" s="63">
        <f>D$370/$F$367</f>
        <v>0</v>
      </c>
      <c r="E336" s="406"/>
      <c r="F336" s="36"/>
    </row>
    <row r="337" spans="1:7" x14ac:dyDescent="0.35">
      <c r="A337" s="5" t="s">
        <v>486</v>
      </c>
      <c r="B337" s="5" t="s">
        <v>72</v>
      </c>
      <c r="C337" s="67">
        <v>26.882044228159096</v>
      </c>
      <c r="D337" s="63">
        <f>B$371/$F$367</f>
        <v>0</v>
      </c>
      <c r="E337" s="406">
        <f>IF(SUM(D337:D339)=0,0,(C337*D337+C338*D338+C339*D339)/SUM(D337:D339))</f>
        <v>77.796591670279184</v>
      </c>
      <c r="F337" s="36">
        <f>F130</f>
        <v>1</v>
      </c>
    </row>
    <row r="338" spans="1:7" x14ac:dyDescent="0.35">
      <c r="A338" s="5"/>
      <c r="B338" s="5" t="s">
        <v>73</v>
      </c>
      <c r="C338" s="67">
        <v>77.796591670279184</v>
      </c>
      <c r="D338" s="63">
        <f>C$371/$F$367</f>
        <v>2.4593265228906548E-3</v>
      </c>
      <c r="E338" s="406"/>
      <c r="F338" s="36"/>
    </row>
    <row r="339" spans="1:7" x14ac:dyDescent="0.35">
      <c r="A339" s="5"/>
      <c r="B339" s="5" t="s">
        <v>74</v>
      </c>
      <c r="C339" s="67">
        <v>77.796591670279184</v>
      </c>
      <c r="D339" s="63">
        <f>D$371/$F$367</f>
        <v>0</v>
      </c>
      <c r="E339" s="406"/>
      <c r="F339" s="36"/>
    </row>
    <row r="340" spans="1:7" x14ac:dyDescent="0.35">
      <c r="A340" s="5" t="s">
        <v>488</v>
      </c>
      <c r="B340" s="5" t="s">
        <v>72</v>
      </c>
      <c r="C340" s="67">
        <v>27.411329502732301</v>
      </c>
      <c r="D340" s="63">
        <f>B$372/$F$367</f>
        <v>0</v>
      </c>
      <c r="E340" s="406">
        <f>IF(SUM(D340:D342)=0,0,(C340*D340+C341*D341+C342*D342)/SUM(D340:D342))</f>
        <v>101.9964062484059</v>
      </c>
      <c r="F340" s="36">
        <f>F133</f>
        <v>0.73973305983041271</v>
      </c>
    </row>
    <row r="341" spans="1:7" x14ac:dyDescent="0.35">
      <c r="A341" s="5"/>
      <c r="B341" s="5" t="s">
        <v>73</v>
      </c>
      <c r="C341" s="67">
        <v>101.99640624840589</v>
      </c>
      <c r="D341" s="63">
        <f>C$372/$F$367</f>
        <v>0.43245315331461448</v>
      </c>
      <c r="E341" s="406"/>
      <c r="F341" s="36"/>
    </row>
    <row r="342" spans="1:7" x14ac:dyDescent="0.35">
      <c r="A342" s="5"/>
      <c r="B342" s="5" t="s">
        <v>74</v>
      </c>
      <c r="C342" s="67">
        <v>101.99640624840589</v>
      </c>
      <c r="D342" s="63">
        <f>D$372/$F$367</f>
        <v>0.23755899396618674</v>
      </c>
      <c r="E342" s="406"/>
      <c r="F342" s="36"/>
    </row>
    <row r="343" spans="1:7" x14ac:dyDescent="0.35">
      <c r="A343" s="5" t="s">
        <v>516</v>
      </c>
      <c r="B343" s="5" t="s">
        <v>72</v>
      </c>
      <c r="C343" s="67">
        <v>-34.819331659546904</v>
      </c>
      <c r="D343" s="63">
        <f>B$373/$F$367</f>
        <v>0</v>
      </c>
      <c r="E343" s="406">
        <f>IF(SUM(D343:D345)=0,0,(C343*D343+C344*D344+C345*D345)/SUM(D343:D345))</f>
        <v>42.638381497508803</v>
      </c>
      <c r="F343" s="36">
        <f>F136</f>
        <v>1</v>
      </c>
    </row>
    <row r="344" spans="1:7" x14ac:dyDescent="0.35">
      <c r="A344" s="5" t="s">
        <v>500</v>
      </c>
      <c r="B344" s="5" t="s">
        <v>73</v>
      </c>
      <c r="C344" s="67">
        <v>42.638381497508803</v>
      </c>
      <c r="D344" s="63">
        <f>C$373/$F$367</f>
        <v>2.4593265228906548E-3</v>
      </c>
      <c r="E344" s="406"/>
      <c r="F344" s="36"/>
    </row>
    <row r="345" spans="1:7" x14ac:dyDescent="0.35">
      <c r="B345" s="5" t="s">
        <v>74</v>
      </c>
      <c r="C345" s="67">
        <v>83.141518883294196</v>
      </c>
      <c r="D345" s="63">
        <f>D$373/$F$367</f>
        <v>0</v>
      </c>
      <c r="E345" s="406"/>
      <c r="F345" s="140"/>
      <c r="G345" s="138"/>
    </row>
    <row r="346" spans="1:7" x14ac:dyDescent="0.35">
      <c r="A346" s="5" t="s">
        <v>489</v>
      </c>
      <c r="B346" s="5" t="s">
        <v>72</v>
      </c>
      <c r="C346" s="67">
        <v>3.4256396846662938</v>
      </c>
      <c r="D346" s="63">
        <f>B$374/$F$367</f>
        <v>0</v>
      </c>
      <c r="E346" s="406">
        <f>IF(SUM(D346:D348)=0,0,(C346*D346+C347*D347+C348*D348)/SUM(D346:D348))</f>
        <v>70.893111675070685</v>
      </c>
      <c r="F346" s="36">
        <f>F139</f>
        <v>0.18473539306975698</v>
      </c>
    </row>
    <row r="347" spans="1:7" x14ac:dyDescent="0.35">
      <c r="A347" s="504" t="s">
        <v>503</v>
      </c>
      <c r="B347" s="5" t="s">
        <v>73</v>
      </c>
      <c r="C347" s="67">
        <v>55.685563042027994</v>
      </c>
      <c r="D347" s="63">
        <f>C$374/$F$367</f>
        <v>9.6640579883306446E-2</v>
      </c>
      <c r="E347" s="406"/>
      <c r="F347" s="36"/>
    </row>
    <row r="348" spans="1:7" x14ac:dyDescent="0.35">
      <c r="B348" s="5" t="s">
        <v>74</v>
      </c>
      <c r="C348" s="67">
        <v>91.685401720473195</v>
      </c>
      <c r="D348" s="63">
        <f>D$374/$F$367</f>
        <v>7.0683234761136665E-2</v>
      </c>
      <c r="E348" s="505"/>
      <c r="F348" s="36"/>
    </row>
    <row r="349" spans="1:7" x14ac:dyDescent="0.35">
      <c r="A349" s="5" t="s">
        <v>490</v>
      </c>
      <c r="B349" s="5" t="s">
        <v>72</v>
      </c>
      <c r="C349" s="67">
        <v>24.876533732941802</v>
      </c>
      <c r="D349" s="63">
        <f>B$375/$F$367</f>
        <v>0</v>
      </c>
      <c r="E349" s="406">
        <f>IF(SUM(D349:D351)=0,0,(C349*D349+C350*D350+C351*D351)/SUM(D349:D351))</f>
        <v>90.611955249483387</v>
      </c>
      <c r="F349" s="36">
        <f>F142</f>
        <v>2.7152420165563809E-3</v>
      </c>
    </row>
    <row r="350" spans="1:7" x14ac:dyDescent="0.35">
      <c r="A350" s="5"/>
      <c r="B350" s="5" t="s">
        <v>73</v>
      </c>
      <c r="C350" s="67">
        <v>90.611955249483387</v>
      </c>
      <c r="D350" s="63">
        <f>C$375/$F$367</f>
        <v>2.4593265228906548E-3</v>
      </c>
      <c r="E350" s="505"/>
      <c r="F350" s="138"/>
    </row>
    <row r="351" spans="1:7" x14ac:dyDescent="0.35">
      <c r="A351" s="5"/>
      <c r="B351" s="5" t="s">
        <v>74</v>
      </c>
      <c r="C351" s="67">
        <v>90.611955249483387</v>
      </c>
      <c r="D351" s="63">
        <f>D$375/$F$367</f>
        <v>0</v>
      </c>
      <c r="E351" s="505"/>
      <c r="F351" s="138"/>
    </row>
    <row r="352" spans="1:7" x14ac:dyDescent="0.35">
      <c r="A352" s="5" t="s">
        <v>491</v>
      </c>
      <c r="B352" s="5" t="s">
        <v>72</v>
      </c>
      <c r="C352" s="67">
        <v>-9.7582018546764004</v>
      </c>
      <c r="D352" s="63">
        <f>B$376/$F$367</f>
        <v>0</v>
      </c>
      <c r="E352" s="406">
        <f>IF(SUM(D352:D354)=0,0,(C352*D352+C353*D353+C354*D354)/SUM(D352:D354))</f>
        <v>76.042933443112602</v>
      </c>
      <c r="F352" s="36">
        <f>F145</f>
        <v>2.7152420165563809E-3</v>
      </c>
    </row>
    <row r="353" spans="1:14" x14ac:dyDescent="0.35">
      <c r="A353" s="5"/>
      <c r="B353" s="5" t="s">
        <v>73</v>
      </c>
      <c r="C353" s="67">
        <v>76.042933443112602</v>
      </c>
      <c r="D353" s="63">
        <f>C$376/$F$367</f>
        <v>2.4593265228906548E-3</v>
      </c>
      <c r="E353" s="505"/>
      <c r="F353" s="138"/>
    </row>
    <row r="354" spans="1:14" x14ac:dyDescent="0.35">
      <c r="A354" s="5"/>
      <c r="B354" s="5" t="s">
        <v>74</v>
      </c>
      <c r="C354" s="67">
        <v>76.042933443112602</v>
      </c>
      <c r="D354" s="63">
        <f>D$376/$F$367</f>
        <v>0</v>
      </c>
      <c r="E354" s="505"/>
      <c r="F354" s="138"/>
    </row>
    <row r="355" spans="1:14" x14ac:dyDescent="0.35">
      <c r="A355" s="5" t="s">
        <v>492</v>
      </c>
      <c r="B355" s="5" t="s">
        <v>72</v>
      </c>
      <c r="C355" s="67">
        <v>27.411329502732301</v>
      </c>
      <c r="D355" s="63">
        <f>B$377/$F$367</f>
        <v>6.1034609793496224E-2</v>
      </c>
      <c r="E355" s="406">
        <f>IF(SUM(D355:D357)=0,0,(C355*D355+C356*D356+C357*D357)/SUM(D355:D357))</f>
        <v>30.300251943112322</v>
      </c>
      <c r="F355" s="36">
        <f>F148</f>
        <v>7.0101063066717456E-2</v>
      </c>
    </row>
    <row r="356" spans="1:14" x14ac:dyDescent="0.35">
      <c r="A356" s="5" t="s">
        <v>501</v>
      </c>
      <c r="B356" s="5" t="s">
        <v>73</v>
      </c>
      <c r="C356" s="67">
        <v>101.99640624840589</v>
      </c>
      <c r="D356" s="63">
        <f>C$377/$F$367</f>
        <v>2.4593265228906548E-3</v>
      </c>
      <c r="E356" s="140"/>
      <c r="F356" s="138"/>
    </row>
    <row r="357" spans="1:14" ht="15" thickBot="1" x14ac:dyDescent="0.4">
      <c r="B357" s="5" t="s">
        <v>74</v>
      </c>
      <c r="C357" s="68">
        <v>101.99640624840589</v>
      </c>
      <c r="D357" s="63">
        <f>D$377/$F$367</f>
        <v>0</v>
      </c>
      <c r="F357" s="138"/>
    </row>
    <row r="358" spans="1:14" ht="15" thickTop="1" x14ac:dyDescent="0.35">
      <c r="B358" s="5"/>
      <c r="C358" s="110"/>
      <c r="D358" s="134"/>
      <c r="E358" s="141">
        <f>SUM(D328:D357)</f>
        <v>0.9980778421650035</v>
      </c>
      <c r="F358" s="133" t="s">
        <v>128</v>
      </c>
      <c r="G358" s="138" t="s">
        <v>130</v>
      </c>
    </row>
    <row r="360" spans="1:14" ht="18.5" x14ac:dyDescent="0.45">
      <c r="A360" s="64" t="s">
        <v>96</v>
      </c>
      <c r="F360" s="82"/>
      <c r="N360" s="13"/>
    </row>
    <row r="361" spans="1:14" ht="18.5" x14ac:dyDescent="0.45">
      <c r="A361" s="64"/>
      <c r="F361" s="82"/>
      <c r="N361" s="13"/>
    </row>
    <row r="362" spans="1:14" x14ac:dyDescent="0.35">
      <c r="A362" s="2" t="s">
        <v>508</v>
      </c>
      <c r="F362" s="82"/>
      <c r="N362" s="13"/>
    </row>
    <row r="363" spans="1:14" ht="16.5" customHeight="1" x14ac:dyDescent="0.35">
      <c r="A363" s="185" t="s">
        <v>240</v>
      </c>
      <c r="F363" s="82"/>
      <c r="N363" s="13"/>
    </row>
    <row r="364" spans="1:14" ht="16.5" customHeight="1" x14ac:dyDescent="0.35">
      <c r="A364" s="82" t="s">
        <v>495</v>
      </c>
      <c r="D364" s="374" t="s">
        <v>502</v>
      </c>
      <c r="F364" s="82"/>
      <c r="N364" s="13"/>
    </row>
    <row r="365" spans="1:14" ht="18.5" x14ac:dyDescent="0.45">
      <c r="A365" s="64"/>
      <c r="F365" s="82"/>
      <c r="N365" s="13"/>
    </row>
    <row r="366" spans="1:14" ht="16" thickBot="1" x14ac:dyDescent="0.4">
      <c r="B366" s="40" t="s">
        <v>72</v>
      </c>
      <c r="C366" s="40" t="s">
        <v>78</v>
      </c>
      <c r="D366" s="40" t="s">
        <v>74</v>
      </c>
      <c r="E366" s="40" t="s">
        <v>82</v>
      </c>
      <c r="F366" s="50" t="s">
        <v>497</v>
      </c>
      <c r="N366" s="13"/>
    </row>
    <row r="367" spans="1:14" ht="15.5" thickTop="1" thickBot="1" x14ac:dyDescent="0.4">
      <c r="A367" t="s">
        <v>79</v>
      </c>
      <c r="B367" s="42">
        <v>5885.4251012145742</v>
      </c>
      <c r="C367" s="43">
        <v>22242.51012145749</v>
      </c>
      <c r="D367" s="44">
        <v>12533.603238866395</v>
      </c>
      <c r="E367" s="39">
        <f>SUM(B367:D367)</f>
        <v>40661.538461538461</v>
      </c>
      <c r="F367" s="244">
        <f>SUM(B367:D367)</f>
        <v>40661.538461538461</v>
      </c>
      <c r="N367" s="13"/>
    </row>
    <row r="368" spans="1:14" ht="15" thickTop="1" x14ac:dyDescent="0.35">
      <c r="A368" t="s">
        <v>484</v>
      </c>
      <c r="B368" s="45">
        <v>0</v>
      </c>
      <c r="C368" s="41">
        <v>728.74493927125502</v>
      </c>
      <c r="D368" s="46">
        <v>0</v>
      </c>
      <c r="E368" s="39">
        <f t="shared" ref="E368:E377" si="18">SUM(B368:D368)</f>
        <v>728.74493927125502</v>
      </c>
      <c r="F368" s="499">
        <f>SUM(E372:E377)/E367</f>
        <v>0.90820787781030321</v>
      </c>
      <c r="G368" t="s">
        <v>85</v>
      </c>
      <c r="N368" s="13"/>
    </row>
    <row r="369" spans="1:14" x14ac:dyDescent="0.35">
      <c r="A369" t="s">
        <v>485</v>
      </c>
      <c r="B369" s="45">
        <v>0</v>
      </c>
      <c r="C369" s="41">
        <v>100</v>
      </c>
      <c r="D369" s="46">
        <v>0</v>
      </c>
      <c r="E369" s="39">
        <f t="shared" si="18"/>
        <v>100</v>
      </c>
      <c r="F369" s="439">
        <f>E371/E367</f>
        <v>2.4593265228906548E-3</v>
      </c>
      <c r="G369" t="s">
        <v>496</v>
      </c>
      <c r="N369" s="13"/>
    </row>
    <row r="370" spans="1:14" ht="15" thickBot="1" x14ac:dyDescent="0.4">
      <c r="A370" t="s">
        <v>487</v>
      </c>
      <c r="B370" s="45">
        <v>2625.5060728744938</v>
      </c>
      <c r="C370" s="41">
        <v>100</v>
      </c>
      <c r="D370" s="46">
        <v>0</v>
      </c>
      <c r="E370" s="39">
        <f t="shared" si="18"/>
        <v>2725.5060728744938</v>
      </c>
      <c r="F370" s="440">
        <f>1-SUM(F368:F369)</f>
        <v>8.9332795666806186E-2</v>
      </c>
      <c r="G370" t="s">
        <v>86</v>
      </c>
      <c r="N370" s="13"/>
    </row>
    <row r="371" spans="1:14" ht="15" thickTop="1" x14ac:dyDescent="0.35">
      <c r="A371" t="s">
        <v>486</v>
      </c>
      <c r="B371" s="45">
        <v>0</v>
      </c>
      <c r="C371" s="41">
        <v>100</v>
      </c>
      <c r="D371" s="46">
        <v>0</v>
      </c>
      <c r="E371" s="39">
        <f t="shared" si="18"/>
        <v>100</v>
      </c>
      <c r="N371" s="13"/>
    </row>
    <row r="372" spans="1:14" x14ac:dyDescent="0.35">
      <c r="A372" t="s">
        <v>488</v>
      </c>
      <c r="B372" s="45">
        <v>0</v>
      </c>
      <c r="C372" s="41">
        <v>17584.210526315786</v>
      </c>
      <c r="D372" s="46">
        <v>9659.5141700404856</v>
      </c>
      <c r="E372" s="39">
        <f t="shared" si="18"/>
        <v>27243.724696356272</v>
      </c>
      <c r="N372" s="13"/>
    </row>
    <row r="373" spans="1:14" x14ac:dyDescent="0.35">
      <c r="A373" s="169" t="s">
        <v>516</v>
      </c>
      <c r="B373" s="45">
        <v>0</v>
      </c>
      <c r="C373" s="41">
        <v>100</v>
      </c>
      <c r="D373" s="46">
        <v>0</v>
      </c>
      <c r="E373" s="39">
        <f t="shared" si="18"/>
        <v>100</v>
      </c>
      <c r="N373" s="13"/>
    </row>
    <row r="374" spans="1:14" x14ac:dyDescent="0.35">
      <c r="A374" t="s">
        <v>493</v>
      </c>
      <c r="B374" s="45">
        <v>0</v>
      </c>
      <c r="C374" s="41">
        <v>3929.554655870445</v>
      </c>
      <c r="D374" s="46">
        <v>2874.0890688259105</v>
      </c>
      <c r="E374" s="39">
        <f t="shared" si="18"/>
        <v>6803.643724696356</v>
      </c>
      <c r="N374" s="13"/>
    </row>
    <row r="375" spans="1:14" x14ac:dyDescent="0.35">
      <c r="A375" t="s">
        <v>490</v>
      </c>
      <c r="B375" s="10">
        <v>0</v>
      </c>
      <c r="C375" s="11">
        <v>100</v>
      </c>
      <c r="D375" s="498">
        <v>0</v>
      </c>
      <c r="E375" s="39">
        <f t="shared" si="18"/>
        <v>100</v>
      </c>
      <c r="N375" s="13"/>
    </row>
    <row r="376" spans="1:14" x14ac:dyDescent="0.35">
      <c r="A376" t="s">
        <v>491</v>
      </c>
      <c r="B376" s="45">
        <v>0</v>
      </c>
      <c r="C376" s="41">
        <v>100</v>
      </c>
      <c r="D376" s="46">
        <v>0</v>
      </c>
      <c r="E376" s="39">
        <f t="shared" si="18"/>
        <v>100</v>
      </c>
      <c r="N376" s="13"/>
    </row>
    <row r="377" spans="1:14" ht="15" thickBot="1" x14ac:dyDescent="0.4">
      <c r="A377" t="s">
        <v>494</v>
      </c>
      <c r="B377" s="47">
        <v>2481.7611336032387</v>
      </c>
      <c r="C377" s="48">
        <v>100</v>
      </c>
      <c r="D377" s="49">
        <v>0</v>
      </c>
      <c r="E377" s="39">
        <f t="shared" si="18"/>
        <v>2581.7611336032387</v>
      </c>
      <c r="N377" s="13"/>
    </row>
    <row r="378" spans="1:14" ht="15" thickTop="1" x14ac:dyDescent="0.35">
      <c r="B378" s="41"/>
      <c r="C378" s="41"/>
      <c r="D378" s="41"/>
      <c r="N378" s="13"/>
    </row>
    <row r="379" spans="1:14" x14ac:dyDescent="0.35">
      <c r="B379" s="41"/>
      <c r="C379" s="41"/>
      <c r="D379" s="41"/>
      <c r="N379" s="13"/>
    </row>
    <row r="380" spans="1:14" x14ac:dyDescent="0.35">
      <c r="B380" s="41"/>
      <c r="C380" s="41"/>
      <c r="D380" s="41"/>
      <c r="N380" s="13"/>
    </row>
    <row r="381" spans="1:14" ht="18.5" x14ac:dyDescent="0.45">
      <c r="A381" s="64"/>
      <c r="F381" s="82"/>
      <c r="N381" s="13"/>
    </row>
    <row r="383" spans="1:14" ht="18.5" x14ac:dyDescent="0.35">
      <c r="A383" s="76" t="s">
        <v>111</v>
      </c>
    </row>
    <row r="385" spans="1:17" ht="18.5" x14ac:dyDescent="0.45">
      <c r="A385" s="2" t="s">
        <v>461</v>
      </c>
      <c r="E385" s="506"/>
    </row>
    <row r="387" spans="1:17" x14ac:dyDescent="0.35">
      <c r="C387" s="13" t="s">
        <v>157</v>
      </c>
      <c r="I387" s="56"/>
      <c r="J387" s="56"/>
    </row>
    <row r="388" spans="1:17" x14ac:dyDescent="0.35">
      <c r="A388" t="s">
        <v>166</v>
      </c>
    </row>
    <row r="389" spans="1:17" ht="15" thickBot="1" x14ac:dyDescent="0.4">
      <c r="A389" s="137" t="s">
        <v>413</v>
      </c>
      <c r="H389" s="56" t="s">
        <v>410</v>
      </c>
    </row>
    <row r="390" spans="1:17" ht="25.5" customHeight="1" thickBot="1" x14ac:dyDescent="0.4">
      <c r="A390" s="477"/>
      <c r="B390" s="155" t="s">
        <v>158</v>
      </c>
      <c r="C390" s="155" t="s">
        <v>409</v>
      </c>
      <c r="D390" s="155" t="s">
        <v>159</v>
      </c>
      <c r="E390" s="155" t="s">
        <v>160</v>
      </c>
      <c r="F390" s="155" t="s">
        <v>161</v>
      </c>
      <c r="H390" s="470" t="s">
        <v>158</v>
      </c>
      <c r="I390" s="471" t="s">
        <v>165</v>
      </c>
      <c r="J390" s="471" t="s">
        <v>159</v>
      </c>
      <c r="K390" s="471" t="s">
        <v>160</v>
      </c>
      <c r="L390" s="471" t="s">
        <v>161</v>
      </c>
    </row>
    <row r="391" spans="1:17" ht="17.5" thickTop="1" thickBot="1" x14ac:dyDescent="0.4">
      <c r="A391" s="478" t="s">
        <v>162</v>
      </c>
      <c r="B391" s="479">
        <f>1-('2b. TOF AD'!D80/'2b. TOF AD'!D42)</f>
        <v>0.85156519230380057</v>
      </c>
      <c r="C391" s="480">
        <f>1-('2b. TOF AD'!C80/'2b. TOF AD'!C42)</f>
        <v>0.77612448136472278</v>
      </c>
      <c r="D391" s="480">
        <f>1-('2b. TOF AD'!E80/'2b. TOF AD'!E42)</f>
        <v>0.68069191502164283</v>
      </c>
      <c r="E391" s="480">
        <f>1-('2b. TOF AD'!F80/'2b. TOF AD'!F42)</f>
        <v>0.91777530369123794</v>
      </c>
      <c r="F391" s="481">
        <f>1-('2b. TOF AD'!G80/'2b. TOF AD'!G42)</f>
        <v>0.94715699370223749</v>
      </c>
      <c r="H391" s="36">
        <v>1</v>
      </c>
      <c r="I391" s="36">
        <v>0.5</v>
      </c>
      <c r="J391" s="36">
        <v>1</v>
      </c>
      <c r="K391" s="36">
        <v>1</v>
      </c>
      <c r="L391" s="36">
        <v>1</v>
      </c>
    </row>
    <row r="392" spans="1:17" ht="15" thickBot="1" x14ac:dyDescent="0.4">
      <c r="A392" s="154" t="s">
        <v>163</v>
      </c>
      <c r="B392" s="156">
        <v>1</v>
      </c>
      <c r="C392" s="157">
        <v>1</v>
      </c>
      <c r="D392" s="157">
        <v>1</v>
      </c>
      <c r="E392" s="157">
        <v>1</v>
      </c>
      <c r="F392" s="158">
        <v>1</v>
      </c>
    </row>
    <row r="393" spans="1:17" ht="17" thickBot="1" x14ac:dyDescent="0.4">
      <c r="A393" s="154" t="s">
        <v>164</v>
      </c>
      <c r="B393" s="159">
        <v>0.23</v>
      </c>
      <c r="C393" s="160">
        <v>0</v>
      </c>
      <c r="D393" s="160">
        <v>0</v>
      </c>
      <c r="E393" s="160">
        <v>0.3</v>
      </c>
      <c r="F393" s="161">
        <v>1</v>
      </c>
    </row>
    <row r="397" spans="1:17" x14ac:dyDescent="0.35">
      <c r="A397" s="2" t="s">
        <v>462</v>
      </c>
    </row>
    <row r="398" spans="1:17" x14ac:dyDescent="0.35">
      <c r="C398" s="82" t="s">
        <v>167</v>
      </c>
      <c r="J398" s="82"/>
    </row>
    <row r="399" spans="1:17" x14ac:dyDescent="0.35">
      <c r="C399" s="78" t="s">
        <v>90</v>
      </c>
      <c r="D399" s="252" t="s">
        <v>6</v>
      </c>
      <c r="E399" s="252"/>
      <c r="F399" s="252"/>
      <c r="G399" s="257" t="s">
        <v>5</v>
      </c>
      <c r="H399" s="18" t="s">
        <v>50</v>
      </c>
      <c r="I399" s="18"/>
      <c r="J399" s="19" t="s">
        <v>51</v>
      </c>
      <c r="K399" s="19"/>
      <c r="L399" s="19"/>
      <c r="M399" s="19"/>
      <c r="N399" s="20" t="s">
        <v>52</v>
      </c>
      <c r="O399" s="20"/>
      <c r="P399" s="162"/>
      <c r="Q399" s="11"/>
    </row>
    <row r="400" spans="1:17" ht="44" thickBot="1" x14ac:dyDescent="0.4">
      <c r="A400" t="s">
        <v>116</v>
      </c>
      <c r="B400" s="5" t="s">
        <v>115</v>
      </c>
      <c r="C400" s="83" t="s">
        <v>119</v>
      </c>
      <c r="D400" s="256" t="s">
        <v>57</v>
      </c>
      <c r="E400" s="256" t="s">
        <v>58</v>
      </c>
      <c r="F400" s="256" t="s">
        <v>59</v>
      </c>
      <c r="G400" s="258" t="s">
        <v>117</v>
      </c>
      <c r="H400" s="25" t="s">
        <v>60</v>
      </c>
      <c r="I400" s="25" t="s">
        <v>61</v>
      </c>
      <c r="J400" s="26" t="s">
        <v>62</v>
      </c>
      <c r="K400" s="26" t="s">
        <v>63</v>
      </c>
      <c r="L400" s="26" t="s">
        <v>64</v>
      </c>
      <c r="M400" s="26" t="s">
        <v>65</v>
      </c>
      <c r="N400" s="27" t="s">
        <v>66</v>
      </c>
      <c r="O400" s="27" t="s">
        <v>67</v>
      </c>
      <c r="P400" s="163"/>
      <c r="Q400" s="164"/>
    </row>
    <row r="401" spans="1:15" ht="15" thickTop="1" x14ac:dyDescent="0.35">
      <c r="A401" s="57" t="s">
        <v>53</v>
      </c>
      <c r="B401" s="5" t="s">
        <v>112</v>
      </c>
      <c r="C401" s="85">
        <v>91.89388000000001</v>
      </c>
      <c r="D401" s="36">
        <f>$C$391</f>
        <v>0.77612448136472278</v>
      </c>
      <c r="E401" s="36">
        <f t="shared" ref="E401:F401" si="19">$C$391</f>
        <v>0.77612448136472278</v>
      </c>
      <c r="F401" s="36">
        <f t="shared" si="19"/>
        <v>0.77612448136472278</v>
      </c>
      <c r="G401" s="36">
        <f>$B$391</f>
        <v>0.85156519230380057</v>
      </c>
      <c r="H401" s="36">
        <f>$D$391</f>
        <v>0.68069191502164283</v>
      </c>
      <c r="I401" s="36">
        <f>$D$391</f>
        <v>0.68069191502164283</v>
      </c>
      <c r="J401" s="36">
        <f>$E$391</f>
        <v>0.91777530369123794</v>
      </c>
      <c r="K401" s="36">
        <f t="shared" ref="K401:M401" si="20">$E$391</f>
        <v>0.91777530369123794</v>
      </c>
      <c r="L401" s="36">
        <f t="shared" si="20"/>
        <v>0.91777530369123794</v>
      </c>
      <c r="M401" s="36">
        <f t="shared" si="20"/>
        <v>0.91777530369123794</v>
      </c>
      <c r="N401" s="36">
        <f>$F$391</f>
        <v>0.94715699370223749</v>
      </c>
      <c r="O401" s="36">
        <f>$F$391</f>
        <v>0.94715699370223749</v>
      </c>
    </row>
    <row r="402" spans="1:15" x14ac:dyDescent="0.35">
      <c r="B402" s="5" t="s">
        <v>113</v>
      </c>
      <c r="C402" s="86">
        <v>22.234446000000002</v>
      </c>
      <c r="D402" s="36">
        <f>$C$392</f>
        <v>1</v>
      </c>
      <c r="E402" s="36">
        <f t="shared" ref="E402:F402" si="21">$C$392</f>
        <v>1</v>
      </c>
      <c r="F402" s="36">
        <f t="shared" si="21"/>
        <v>1</v>
      </c>
      <c r="G402" s="36">
        <f>$B$392</f>
        <v>1</v>
      </c>
      <c r="H402" s="36">
        <f>$D$392</f>
        <v>1</v>
      </c>
      <c r="I402" s="36">
        <f>$D$392</f>
        <v>1</v>
      </c>
      <c r="J402" s="36">
        <f>$E$392</f>
        <v>1</v>
      </c>
      <c r="K402" s="36">
        <f>$E$392</f>
        <v>1</v>
      </c>
      <c r="L402" s="36">
        <f>$E$392</f>
        <v>1</v>
      </c>
      <c r="M402" s="36">
        <f>$E$392</f>
        <v>1</v>
      </c>
      <c r="N402" s="36">
        <f>$F$392</f>
        <v>1</v>
      </c>
      <c r="O402" s="36">
        <f>$F$392</f>
        <v>1</v>
      </c>
    </row>
    <row r="403" spans="1:15" x14ac:dyDescent="0.35">
      <c r="B403" s="5" t="s">
        <v>114</v>
      </c>
      <c r="C403" s="86">
        <v>77.443639000000005</v>
      </c>
      <c r="D403" s="36">
        <f>$C$393</f>
        <v>0</v>
      </c>
      <c r="E403" s="36">
        <f t="shared" ref="E403:F403" si="22">$C$393</f>
        <v>0</v>
      </c>
      <c r="F403" s="36">
        <f t="shared" si="22"/>
        <v>0</v>
      </c>
      <c r="G403" s="36">
        <f>$B$393</f>
        <v>0.23</v>
      </c>
      <c r="H403" s="36">
        <f>$D$393</f>
        <v>0</v>
      </c>
      <c r="I403" s="36">
        <f>$D$393</f>
        <v>0</v>
      </c>
      <c r="J403" s="36">
        <f>$E$393</f>
        <v>0.3</v>
      </c>
      <c r="K403" s="36">
        <f>$E$393</f>
        <v>0.3</v>
      </c>
      <c r="L403" s="36">
        <f>$E$393</f>
        <v>0.3</v>
      </c>
      <c r="M403" s="36">
        <f>$E$393</f>
        <v>0.3</v>
      </c>
      <c r="N403" s="36">
        <f>$F$393</f>
        <v>1</v>
      </c>
      <c r="O403" s="36">
        <f>$F$393</f>
        <v>1</v>
      </c>
    </row>
    <row r="404" spans="1:15" x14ac:dyDescent="0.35">
      <c r="A404" s="57" t="s">
        <v>54</v>
      </c>
      <c r="B404" s="5" t="s">
        <v>112</v>
      </c>
      <c r="C404" s="86">
        <v>72.468564999999998</v>
      </c>
      <c r="D404" s="36">
        <f t="shared" ref="D404:F404" si="23">$C$391</f>
        <v>0.77612448136472278</v>
      </c>
      <c r="E404" s="36">
        <f t="shared" si="23"/>
        <v>0.77612448136472278</v>
      </c>
      <c r="F404" s="36">
        <f t="shared" si="23"/>
        <v>0.77612448136472278</v>
      </c>
      <c r="G404" s="36">
        <f>$B$391</f>
        <v>0.85156519230380057</v>
      </c>
      <c r="H404" s="36">
        <f t="shared" ref="H404:I404" si="24">$D$391</f>
        <v>0.68069191502164283</v>
      </c>
      <c r="I404" s="36">
        <f t="shared" si="24"/>
        <v>0.68069191502164283</v>
      </c>
      <c r="J404" s="36">
        <f t="shared" ref="J404:M404" si="25">$E$391</f>
        <v>0.91777530369123794</v>
      </c>
      <c r="K404" s="36">
        <f t="shared" si="25"/>
        <v>0.91777530369123794</v>
      </c>
      <c r="L404" s="36">
        <f t="shared" si="25"/>
        <v>0.91777530369123794</v>
      </c>
      <c r="M404" s="36">
        <f t="shared" si="25"/>
        <v>0.91777530369123794</v>
      </c>
      <c r="N404" s="36">
        <f t="shared" ref="N404:O404" si="26">$F$391</f>
        <v>0.94715699370223749</v>
      </c>
      <c r="O404" s="36">
        <f t="shared" si="26"/>
        <v>0.94715699370223749</v>
      </c>
    </row>
    <row r="405" spans="1:15" x14ac:dyDescent="0.35">
      <c r="B405" s="5" t="s">
        <v>113</v>
      </c>
      <c r="C405" s="86">
        <v>32.536569</v>
      </c>
      <c r="D405" s="36">
        <f t="shared" ref="D405:F405" si="27">$C$392</f>
        <v>1</v>
      </c>
      <c r="E405" s="36">
        <f t="shared" si="27"/>
        <v>1</v>
      </c>
      <c r="F405" s="36">
        <f t="shared" si="27"/>
        <v>1</v>
      </c>
      <c r="G405" s="36">
        <f>$B$392</f>
        <v>1</v>
      </c>
      <c r="H405" s="36">
        <f>$D$392</f>
        <v>1</v>
      </c>
      <c r="I405" s="36">
        <f>$D$392</f>
        <v>1</v>
      </c>
      <c r="J405" s="36">
        <f>$E$392</f>
        <v>1</v>
      </c>
      <c r="K405" s="36">
        <f>$E$392</f>
        <v>1</v>
      </c>
      <c r="L405" s="36">
        <f>$E$392</f>
        <v>1</v>
      </c>
      <c r="M405" s="36">
        <f>$E$392</f>
        <v>1</v>
      </c>
      <c r="N405" s="36">
        <f>$F$392</f>
        <v>1</v>
      </c>
      <c r="O405" s="36">
        <f>$F$392</f>
        <v>1</v>
      </c>
    </row>
    <row r="406" spans="1:15" x14ac:dyDescent="0.35">
      <c r="B406" s="5" t="s">
        <v>114</v>
      </c>
      <c r="C406" s="86">
        <v>66.864382000000006</v>
      </c>
      <c r="D406" s="36">
        <f t="shared" ref="D406:F406" si="28">$C$393</f>
        <v>0</v>
      </c>
      <c r="E406" s="36">
        <f t="shared" si="28"/>
        <v>0</v>
      </c>
      <c r="F406" s="36">
        <f t="shared" si="28"/>
        <v>0</v>
      </c>
      <c r="G406" s="36">
        <f>$B$393</f>
        <v>0.23</v>
      </c>
      <c r="H406" s="36">
        <f>$D$393</f>
        <v>0</v>
      </c>
      <c r="I406" s="36">
        <f>$D$393</f>
        <v>0</v>
      </c>
      <c r="J406" s="36">
        <f>$E$393</f>
        <v>0.3</v>
      </c>
      <c r="K406" s="36">
        <f>$E$393</f>
        <v>0.3</v>
      </c>
      <c r="L406" s="36">
        <f>$E$393</f>
        <v>0.3</v>
      </c>
      <c r="M406" s="36">
        <f>$E$393</f>
        <v>0.3</v>
      </c>
      <c r="N406" s="36">
        <f>$F$393</f>
        <v>1</v>
      </c>
      <c r="O406" s="36">
        <f>$F$393</f>
        <v>1</v>
      </c>
    </row>
    <row r="407" spans="1:15" x14ac:dyDescent="0.35">
      <c r="A407" s="57" t="s">
        <v>55</v>
      </c>
      <c r="B407" s="5" t="s">
        <v>112</v>
      </c>
      <c r="C407" s="86">
        <v>114.67074679502126</v>
      </c>
      <c r="D407" s="36">
        <f t="shared" ref="D407:F407" si="29">$C$391</f>
        <v>0.77612448136472278</v>
      </c>
      <c r="E407" s="36">
        <f t="shared" si="29"/>
        <v>0.77612448136472278</v>
      </c>
      <c r="F407" s="36">
        <f t="shared" si="29"/>
        <v>0.77612448136472278</v>
      </c>
      <c r="G407" s="36">
        <f>$B$391</f>
        <v>0.85156519230380057</v>
      </c>
      <c r="H407" s="36">
        <f t="shared" ref="H407:I407" si="30">$D$391</f>
        <v>0.68069191502164283</v>
      </c>
      <c r="I407" s="36">
        <f t="shared" si="30"/>
        <v>0.68069191502164283</v>
      </c>
      <c r="J407" s="36">
        <f t="shared" ref="J407:M407" si="31">$E$391</f>
        <v>0.91777530369123794</v>
      </c>
      <c r="K407" s="36">
        <f t="shared" si="31"/>
        <v>0.91777530369123794</v>
      </c>
      <c r="L407" s="36">
        <f t="shared" si="31"/>
        <v>0.91777530369123794</v>
      </c>
      <c r="M407" s="36">
        <f t="shared" si="31"/>
        <v>0.91777530369123794</v>
      </c>
      <c r="N407" s="36">
        <f t="shared" ref="N407:O407" si="32">$F$391</f>
        <v>0.94715699370223749</v>
      </c>
      <c r="O407" s="36">
        <f t="shared" si="32"/>
        <v>0.94715699370223749</v>
      </c>
    </row>
    <row r="408" spans="1:15" x14ac:dyDescent="0.35">
      <c r="B408" s="5" t="s">
        <v>113</v>
      </c>
      <c r="C408" s="86">
        <v>21.707836084764459</v>
      </c>
      <c r="D408" s="36">
        <f t="shared" ref="D408:F408" si="33">$C$392</f>
        <v>1</v>
      </c>
      <c r="E408" s="36">
        <f t="shared" si="33"/>
        <v>1</v>
      </c>
      <c r="F408" s="36">
        <f t="shared" si="33"/>
        <v>1</v>
      </c>
      <c r="G408" s="36">
        <f>$B$392</f>
        <v>1</v>
      </c>
      <c r="H408" s="36">
        <f>$D$392</f>
        <v>1</v>
      </c>
      <c r="I408" s="36">
        <f>$D$392</f>
        <v>1</v>
      </c>
      <c r="J408" s="36">
        <f>$E$392</f>
        <v>1</v>
      </c>
      <c r="K408" s="36">
        <f>$E$392</f>
        <v>1</v>
      </c>
      <c r="L408" s="36">
        <f>$E$392</f>
        <v>1</v>
      </c>
      <c r="M408" s="36">
        <f>$E$392</f>
        <v>1</v>
      </c>
      <c r="N408" s="36">
        <f>$F$392</f>
        <v>1</v>
      </c>
      <c r="O408" s="36">
        <f>$F$392</f>
        <v>1</v>
      </c>
    </row>
    <row r="409" spans="1:15" x14ac:dyDescent="0.35">
      <c r="B409" s="5" t="s">
        <v>114</v>
      </c>
      <c r="C409" s="86">
        <v>64.190540764928315</v>
      </c>
      <c r="D409" s="36">
        <f t="shared" ref="D409:F409" si="34">$C$393</f>
        <v>0</v>
      </c>
      <c r="E409" s="36">
        <f t="shared" si="34"/>
        <v>0</v>
      </c>
      <c r="F409" s="36">
        <f t="shared" si="34"/>
        <v>0</v>
      </c>
      <c r="G409" s="36">
        <f>$B$393</f>
        <v>0.23</v>
      </c>
      <c r="H409" s="36">
        <f>$D$393</f>
        <v>0</v>
      </c>
      <c r="I409" s="36">
        <f>$D$393</f>
        <v>0</v>
      </c>
      <c r="J409" s="36">
        <f>$E$393</f>
        <v>0.3</v>
      </c>
      <c r="K409" s="36">
        <f>$E$393</f>
        <v>0.3</v>
      </c>
      <c r="L409" s="36">
        <f>$E$393</f>
        <v>0.3</v>
      </c>
      <c r="M409" s="36">
        <f>$E$393</f>
        <v>0.3</v>
      </c>
      <c r="N409" s="36">
        <f>$F$393</f>
        <v>1</v>
      </c>
      <c r="O409" s="36">
        <f>$F$393</f>
        <v>1</v>
      </c>
    </row>
    <row r="410" spans="1:15" x14ac:dyDescent="0.35">
      <c r="A410" s="57" t="s">
        <v>50</v>
      </c>
      <c r="B410" s="5" t="s">
        <v>112</v>
      </c>
      <c r="C410" s="86">
        <v>80.38540900000001</v>
      </c>
      <c r="D410" s="36">
        <f t="shared" ref="D410:F410" si="35">$C$391</f>
        <v>0.77612448136472278</v>
      </c>
      <c r="E410" s="36">
        <f t="shared" si="35"/>
        <v>0.77612448136472278</v>
      </c>
      <c r="F410" s="36">
        <f t="shared" si="35"/>
        <v>0.77612448136472278</v>
      </c>
      <c r="G410" s="36">
        <f>$B$391</f>
        <v>0.85156519230380057</v>
      </c>
      <c r="H410" s="36">
        <f t="shared" ref="H410:I410" si="36">$D$391</f>
        <v>0.68069191502164283</v>
      </c>
      <c r="I410" s="36">
        <f t="shared" si="36"/>
        <v>0.68069191502164283</v>
      </c>
      <c r="J410" s="36">
        <f t="shared" ref="J410:M410" si="37">$E$391</f>
        <v>0.91777530369123794</v>
      </c>
      <c r="K410" s="36">
        <f t="shared" si="37"/>
        <v>0.91777530369123794</v>
      </c>
      <c r="L410" s="36">
        <f t="shared" si="37"/>
        <v>0.91777530369123794</v>
      </c>
      <c r="M410" s="36">
        <f t="shared" si="37"/>
        <v>0.91777530369123794</v>
      </c>
      <c r="N410" s="36">
        <f t="shared" ref="N410:O410" si="38">$F$391</f>
        <v>0.94715699370223749</v>
      </c>
      <c r="O410" s="36">
        <f t="shared" si="38"/>
        <v>0.94715699370223749</v>
      </c>
    </row>
    <row r="411" spans="1:15" x14ac:dyDescent="0.35">
      <c r="A411" s="57"/>
      <c r="B411" s="5" t="s">
        <v>113</v>
      </c>
      <c r="C411" s="86">
        <v>18.301465000000004</v>
      </c>
      <c r="D411" s="36">
        <f t="shared" ref="D411:F411" si="39">$C$392</f>
        <v>1</v>
      </c>
      <c r="E411" s="36">
        <f t="shared" si="39"/>
        <v>1</v>
      </c>
      <c r="F411" s="36">
        <f t="shared" si="39"/>
        <v>1</v>
      </c>
      <c r="G411" s="36">
        <f>$B$392</f>
        <v>1</v>
      </c>
      <c r="H411" s="36">
        <f>$D$392</f>
        <v>1</v>
      </c>
      <c r="I411" s="36">
        <f>$D$392</f>
        <v>1</v>
      </c>
      <c r="J411" s="36">
        <f>$E$392</f>
        <v>1</v>
      </c>
      <c r="K411" s="36">
        <f>$E$392</f>
        <v>1</v>
      </c>
      <c r="L411" s="36">
        <f>$E$392</f>
        <v>1</v>
      </c>
      <c r="M411" s="36">
        <f>$E$392</f>
        <v>1</v>
      </c>
      <c r="N411" s="36">
        <f>$F$392</f>
        <v>1</v>
      </c>
      <c r="O411" s="36">
        <f>$F$392</f>
        <v>1</v>
      </c>
    </row>
    <row r="412" spans="1:15" ht="15" thickBot="1" x14ac:dyDescent="0.4">
      <c r="B412" s="5" t="s">
        <v>114</v>
      </c>
      <c r="C412" s="87">
        <v>100.61495600000001</v>
      </c>
      <c r="D412" s="36">
        <f t="shared" ref="D412:F412" si="40">$C$393</f>
        <v>0</v>
      </c>
      <c r="E412" s="36">
        <f t="shared" si="40"/>
        <v>0</v>
      </c>
      <c r="F412" s="36">
        <f t="shared" si="40"/>
        <v>0</v>
      </c>
      <c r="G412" s="36">
        <f>$B$393</f>
        <v>0.23</v>
      </c>
      <c r="H412" s="36">
        <f>$D$393</f>
        <v>0</v>
      </c>
      <c r="I412" s="36">
        <f>$D$393</f>
        <v>0</v>
      </c>
      <c r="J412" s="36">
        <f>$E$393</f>
        <v>0.3</v>
      </c>
      <c r="K412" s="36">
        <f>$E$393</f>
        <v>0.3</v>
      </c>
      <c r="L412" s="36">
        <f>$E$393</f>
        <v>0.3</v>
      </c>
      <c r="M412" s="36">
        <f>$E$393</f>
        <v>0.3</v>
      </c>
      <c r="N412" s="36">
        <f>$F$393</f>
        <v>1</v>
      </c>
      <c r="O412" s="36">
        <f>$F$393</f>
        <v>1</v>
      </c>
    </row>
    <row r="413" spans="1:15" ht="15" thickTop="1" x14ac:dyDescent="0.35">
      <c r="B413" s="5"/>
      <c r="C413" s="91"/>
      <c r="D413" s="81"/>
      <c r="E413" s="81"/>
      <c r="F413" s="81"/>
      <c r="G413" s="36"/>
      <c r="H413" s="81"/>
      <c r="I413" s="81"/>
      <c r="J413" s="81"/>
      <c r="K413" s="81"/>
      <c r="L413" s="81"/>
      <c r="M413" s="81"/>
      <c r="N413" s="81"/>
      <c r="O413" s="81"/>
    </row>
    <row r="414" spans="1:15" x14ac:dyDescent="0.35">
      <c r="A414" t="s">
        <v>120</v>
      </c>
    </row>
    <row r="415" spans="1:15" x14ac:dyDescent="0.35">
      <c r="D415" s="252" t="s">
        <v>6</v>
      </c>
      <c r="E415" s="252"/>
      <c r="F415" s="252"/>
      <c r="G415" s="257" t="s">
        <v>5</v>
      </c>
      <c r="H415" s="18" t="s">
        <v>50</v>
      </c>
      <c r="I415" s="18"/>
      <c r="J415" s="19" t="s">
        <v>51</v>
      </c>
      <c r="K415" s="19"/>
      <c r="L415" s="19"/>
      <c r="M415" s="19"/>
      <c r="N415" s="20" t="s">
        <v>52</v>
      </c>
      <c r="O415" s="20"/>
    </row>
    <row r="416" spans="1:15" ht="21" x14ac:dyDescent="0.35">
      <c r="A416" t="s">
        <v>116</v>
      </c>
      <c r="B416" s="5" t="s">
        <v>115</v>
      </c>
      <c r="D416" s="256" t="s">
        <v>57</v>
      </c>
      <c r="E416" s="256" t="s">
        <v>58</v>
      </c>
      <c r="F416" s="256" t="s">
        <v>59</v>
      </c>
      <c r="G416" s="258" t="s">
        <v>117</v>
      </c>
      <c r="H416" s="25" t="s">
        <v>60</v>
      </c>
      <c r="I416" s="25" t="s">
        <v>61</v>
      </c>
      <c r="J416" s="26" t="s">
        <v>62</v>
      </c>
      <c r="K416" s="26" t="s">
        <v>63</v>
      </c>
      <c r="L416" s="26" t="s">
        <v>64</v>
      </c>
      <c r="M416" s="26" t="s">
        <v>65</v>
      </c>
      <c r="N416" s="27" t="s">
        <v>66</v>
      </c>
      <c r="O416" s="27" t="s">
        <v>67</v>
      </c>
    </row>
    <row r="417" spans="1:15" x14ac:dyDescent="0.35">
      <c r="A417" s="57" t="s">
        <v>53</v>
      </c>
      <c r="B417" s="5" t="s">
        <v>112</v>
      </c>
      <c r="D417" s="81">
        <f>$C401*D401</f>
        <v>71.321089955592086</v>
      </c>
      <c r="E417" s="81">
        <f t="shared" ref="E417:O417" si="41">$C401*E401</f>
        <v>71.321089955592086</v>
      </c>
      <c r="F417" s="81">
        <f t="shared" si="41"/>
        <v>71.321089955592086</v>
      </c>
      <c r="G417" s="81">
        <f t="shared" si="41"/>
        <v>78.253629593742374</v>
      </c>
      <c r="H417" s="81">
        <f t="shared" si="41"/>
        <v>62.551421155969052</v>
      </c>
      <c r="I417" s="81">
        <f t="shared" si="41"/>
        <v>62.551421155969052</v>
      </c>
      <c r="J417" s="81">
        <f t="shared" si="41"/>
        <v>84.337933624366187</v>
      </c>
      <c r="K417" s="81">
        <f t="shared" si="41"/>
        <v>84.337933624366187</v>
      </c>
      <c r="L417" s="81">
        <f t="shared" si="41"/>
        <v>84.337933624366187</v>
      </c>
      <c r="M417" s="81">
        <f t="shared" si="41"/>
        <v>84.337933624366187</v>
      </c>
      <c r="N417" s="81">
        <f t="shared" si="41"/>
        <v>87.03793112043418</v>
      </c>
      <c r="O417" s="81">
        <f t="shared" si="41"/>
        <v>87.03793112043418</v>
      </c>
    </row>
    <row r="418" spans="1:15" x14ac:dyDescent="0.35">
      <c r="B418" s="5" t="s">
        <v>113</v>
      </c>
      <c r="D418" s="81">
        <f t="shared" ref="D418:O418" si="42">$C402*D402</f>
        <v>22.234446000000002</v>
      </c>
      <c r="E418" s="81">
        <f t="shared" si="42"/>
        <v>22.234446000000002</v>
      </c>
      <c r="F418" s="81">
        <f t="shared" si="42"/>
        <v>22.234446000000002</v>
      </c>
      <c r="G418" s="81">
        <f t="shared" si="42"/>
        <v>22.234446000000002</v>
      </c>
      <c r="H418" s="81">
        <f t="shared" si="42"/>
        <v>22.234446000000002</v>
      </c>
      <c r="I418" s="81">
        <f t="shared" si="42"/>
        <v>22.234446000000002</v>
      </c>
      <c r="J418" s="81">
        <f t="shared" si="42"/>
        <v>22.234446000000002</v>
      </c>
      <c r="K418" s="81">
        <f t="shared" si="42"/>
        <v>22.234446000000002</v>
      </c>
      <c r="L418" s="81">
        <f t="shared" si="42"/>
        <v>22.234446000000002</v>
      </c>
      <c r="M418" s="81">
        <f t="shared" si="42"/>
        <v>22.234446000000002</v>
      </c>
      <c r="N418" s="81">
        <f t="shared" si="42"/>
        <v>22.234446000000002</v>
      </c>
      <c r="O418" s="81">
        <f t="shared" si="42"/>
        <v>22.234446000000002</v>
      </c>
    </row>
    <row r="419" spans="1:15" x14ac:dyDescent="0.35">
      <c r="B419" s="5" t="s">
        <v>114</v>
      </c>
      <c r="D419" s="81">
        <f t="shared" ref="D419:O419" si="43">$C403*D403</f>
        <v>0</v>
      </c>
      <c r="E419" s="81">
        <f t="shared" si="43"/>
        <v>0</v>
      </c>
      <c r="F419" s="81">
        <f t="shared" si="43"/>
        <v>0</v>
      </c>
      <c r="G419" s="81">
        <f t="shared" si="43"/>
        <v>17.812036970000001</v>
      </c>
      <c r="H419" s="81">
        <f t="shared" si="43"/>
        <v>0</v>
      </c>
      <c r="I419" s="81">
        <f t="shared" si="43"/>
        <v>0</v>
      </c>
      <c r="J419" s="81">
        <f t="shared" si="43"/>
        <v>23.233091699999999</v>
      </c>
      <c r="K419" s="81">
        <f t="shared" si="43"/>
        <v>23.233091699999999</v>
      </c>
      <c r="L419" s="81">
        <f t="shared" si="43"/>
        <v>23.233091699999999</v>
      </c>
      <c r="M419" s="81">
        <f t="shared" si="43"/>
        <v>23.233091699999999</v>
      </c>
      <c r="N419" s="81">
        <f t="shared" si="43"/>
        <v>77.443639000000005</v>
      </c>
      <c r="O419" s="81">
        <f t="shared" si="43"/>
        <v>77.443639000000005</v>
      </c>
    </row>
    <row r="420" spans="1:15" x14ac:dyDescent="0.35">
      <c r="A420" s="57" t="s">
        <v>54</v>
      </c>
      <c r="B420" s="5" t="s">
        <v>112</v>
      </c>
      <c r="D420" s="81">
        <f t="shared" ref="D420:O420" si="44">$C404*D404</f>
        <v>56.244627425870704</v>
      </c>
      <c r="E420" s="81">
        <f t="shared" si="44"/>
        <v>56.244627425870704</v>
      </c>
      <c r="F420" s="81">
        <f t="shared" si="44"/>
        <v>56.244627425870704</v>
      </c>
      <c r="G420" s="81">
        <f t="shared" si="44"/>
        <v>61.71170749020547</v>
      </c>
      <c r="H420" s="81">
        <f t="shared" si="44"/>
        <v>49.328766288720402</v>
      </c>
      <c r="I420" s="81">
        <f t="shared" si="44"/>
        <v>49.328766288720402</v>
      </c>
      <c r="J420" s="81">
        <f t="shared" si="44"/>
        <v>66.509859250943208</v>
      </c>
      <c r="K420" s="81">
        <f t="shared" si="44"/>
        <v>66.509859250943208</v>
      </c>
      <c r="L420" s="81">
        <f t="shared" si="44"/>
        <v>66.509859250943208</v>
      </c>
      <c r="M420" s="81">
        <f t="shared" si="44"/>
        <v>66.509859250943208</v>
      </c>
      <c r="N420" s="81">
        <f t="shared" si="44"/>
        <v>68.639108163315186</v>
      </c>
      <c r="O420" s="81">
        <f t="shared" si="44"/>
        <v>68.639108163315186</v>
      </c>
    </row>
    <row r="421" spans="1:15" x14ac:dyDescent="0.35">
      <c r="B421" s="5" t="s">
        <v>113</v>
      </c>
      <c r="C421" s="88"/>
      <c r="D421" s="81">
        <f t="shared" ref="D421:O421" si="45">$C405*D405</f>
        <v>32.536569</v>
      </c>
      <c r="E421" s="81">
        <f t="shared" si="45"/>
        <v>32.536569</v>
      </c>
      <c r="F421" s="81">
        <f t="shared" si="45"/>
        <v>32.536569</v>
      </c>
      <c r="G421" s="81">
        <f t="shared" si="45"/>
        <v>32.536569</v>
      </c>
      <c r="H421" s="81">
        <f t="shared" si="45"/>
        <v>32.536569</v>
      </c>
      <c r="I421" s="81">
        <f t="shared" si="45"/>
        <v>32.536569</v>
      </c>
      <c r="J421" s="81">
        <f t="shared" si="45"/>
        <v>32.536569</v>
      </c>
      <c r="K421" s="81">
        <f t="shared" si="45"/>
        <v>32.536569</v>
      </c>
      <c r="L421" s="81">
        <f t="shared" si="45"/>
        <v>32.536569</v>
      </c>
      <c r="M421" s="81">
        <f t="shared" si="45"/>
        <v>32.536569</v>
      </c>
      <c r="N421" s="81">
        <f t="shared" si="45"/>
        <v>32.536569</v>
      </c>
      <c r="O421" s="81">
        <f t="shared" si="45"/>
        <v>32.536569</v>
      </c>
    </row>
    <row r="422" spans="1:15" x14ac:dyDescent="0.35">
      <c r="B422" s="5" t="s">
        <v>114</v>
      </c>
      <c r="C422" s="89"/>
      <c r="D422" s="81">
        <f t="shared" ref="D422:O422" si="46">$C406*D406</f>
        <v>0</v>
      </c>
      <c r="E422" s="81">
        <f t="shared" si="46"/>
        <v>0</v>
      </c>
      <c r="F422" s="81">
        <f t="shared" si="46"/>
        <v>0</v>
      </c>
      <c r="G422" s="81">
        <f t="shared" si="46"/>
        <v>15.378807860000002</v>
      </c>
      <c r="H422" s="81">
        <f t="shared" si="46"/>
        <v>0</v>
      </c>
      <c r="I422" s="81">
        <f t="shared" si="46"/>
        <v>0</v>
      </c>
      <c r="J422" s="81">
        <f t="shared" si="46"/>
        <v>20.0593146</v>
      </c>
      <c r="K422" s="81">
        <f t="shared" si="46"/>
        <v>20.0593146</v>
      </c>
      <c r="L422" s="81">
        <f t="shared" si="46"/>
        <v>20.0593146</v>
      </c>
      <c r="M422" s="81">
        <f t="shared" si="46"/>
        <v>20.0593146</v>
      </c>
      <c r="N422" s="81">
        <f t="shared" si="46"/>
        <v>66.864382000000006</v>
      </c>
      <c r="O422" s="81">
        <f t="shared" si="46"/>
        <v>66.864382000000006</v>
      </c>
    </row>
    <row r="423" spans="1:15" x14ac:dyDescent="0.35">
      <c r="A423" s="57" t="s">
        <v>55</v>
      </c>
      <c r="B423" s="5" t="s">
        <v>112</v>
      </c>
      <c r="C423" s="90"/>
      <c r="D423" s="81">
        <f t="shared" ref="D423:O423" si="47">$C407*D407</f>
        <v>88.998773883991319</v>
      </c>
      <c r="E423" s="81">
        <f t="shared" si="47"/>
        <v>88.998773883991319</v>
      </c>
      <c r="F423" s="81">
        <f t="shared" si="47"/>
        <v>88.998773883991319</v>
      </c>
      <c r="G423" s="81">
        <f t="shared" si="47"/>
        <v>97.649616546122701</v>
      </c>
      <c r="H423" s="81">
        <f t="shared" si="47"/>
        <v>78.055450232864928</v>
      </c>
      <c r="I423" s="81">
        <f t="shared" si="47"/>
        <v>78.055450232864928</v>
      </c>
      <c r="J423" s="81">
        <f t="shared" si="47"/>
        <v>105.24197946430169</v>
      </c>
      <c r="K423" s="81">
        <f t="shared" si="47"/>
        <v>105.24197946430169</v>
      </c>
      <c r="L423" s="81">
        <f t="shared" si="47"/>
        <v>105.24197946430169</v>
      </c>
      <c r="M423" s="81">
        <f t="shared" si="47"/>
        <v>105.24197946430169</v>
      </c>
      <c r="N423" s="81">
        <f t="shared" si="47"/>
        <v>108.61119979996282</v>
      </c>
      <c r="O423" s="81">
        <f t="shared" si="47"/>
        <v>108.61119979996282</v>
      </c>
    </row>
    <row r="424" spans="1:15" x14ac:dyDescent="0.35">
      <c r="B424" s="5" t="s">
        <v>113</v>
      </c>
      <c r="C424" s="90"/>
      <c r="D424" s="81">
        <f t="shared" ref="D424:O424" si="48">$C408*D408</f>
        <v>21.707836084764459</v>
      </c>
      <c r="E424" s="81">
        <f t="shared" si="48"/>
        <v>21.707836084764459</v>
      </c>
      <c r="F424" s="81">
        <f t="shared" si="48"/>
        <v>21.707836084764459</v>
      </c>
      <c r="G424" s="81">
        <f t="shared" si="48"/>
        <v>21.707836084764459</v>
      </c>
      <c r="H424" s="81">
        <f t="shared" si="48"/>
        <v>21.707836084764459</v>
      </c>
      <c r="I424" s="81">
        <f t="shared" si="48"/>
        <v>21.707836084764459</v>
      </c>
      <c r="J424" s="81">
        <f t="shared" si="48"/>
        <v>21.707836084764459</v>
      </c>
      <c r="K424" s="81">
        <f t="shared" si="48"/>
        <v>21.707836084764459</v>
      </c>
      <c r="L424" s="81">
        <f t="shared" si="48"/>
        <v>21.707836084764459</v>
      </c>
      <c r="M424" s="81">
        <f t="shared" si="48"/>
        <v>21.707836084764459</v>
      </c>
      <c r="N424" s="81">
        <f t="shared" si="48"/>
        <v>21.707836084764459</v>
      </c>
      <c r="O424" s="81">
        <f t="shared" si="48"/>
        <v>21.707836084764459</v>
      </c>
    </row>
    <row r="425" spans="1:15" x14ac:dyDescent="0.35">
      <c r="B425" s="5" t="s">
        <v>114</v>
      </c>
      <c r="D425" s="81">
        <f t="shared" ref="D425:O425" si="49">$C409*D409</f>
        <v>0</v>
      </c>
      <c r="E425" s="81">
        <f t="shared" si="49"/>
        <v>0</v>
      </c>
      <c r="F425" s="81">
        <f t="shared" si="49"/>
        <v>0</v>
      </c>
      <c r="G425" s="81">
        <f t="shared" si="49"/>
        <v>14.763824375933513</v>
      </c>
      <c r="H425" s="81">
        <f t="shared" si="49"/>
        <v>0</v>
      </c>
      <c r="I425" s="81">
        <f t="shared" si="49"/>
        <v>0</v>
      </c>
      <c r="J425" s="81">
        <f t="shared" si="49"/>
        <v>19.257162229478492</v>
      </c>
      <c r="K425" s="81">
        <f t="shared" si="49"/>
        <v>19.257162229478492</v>
      </c>
      <c r="L425" s="81">
        <f t="shared" si="49"/>
        <v>19.257162229478492</v>
      </c>
      <c r="M425" s="81">
        <f t="shared" si="49"/>
        <v>19.257162229478492</v>
      </c>
      <c r="N425" s="81">
        <f t="shared" si="49"/>
        <v>64.190540764928315</v>
      </c>
      <c r="O425" s="81">
        <f t="shared" si="49"/>
        <v>64.190540764928315</v>
      </c>
    </row>
    <row r="426" spans="1:15" x14ac:dyDescent="0.35">
      <c r="A426" s="57" t="s">
        <v>50</v>
      </c>
      <c r="B426" s="5" t="s">
        <v>112</v>
      </c>
      <c r="D426" s="81">
        <f t="shared" ref="D426:O426" si="50">$C410*D410</f>
        <v>62.389083869416126</v>
      </c>
      <c r="E426" s="81">
        <f t="shared" si="50"/>
        <v>62.389083869416126</v>
      </c>
      <c r="F426" s="81">
        <f t="shared" si="50"/>
        <v>62.389083869416126</v>
      </c>
      <c r="G426" s="81">
        <f t="shared" si="50"/>
        <v>68.453416273504672</v>
      </c>
      <c r="H426" s="81">
        <f t="shared" si="50"/>
        <v>54.717697992008013</v>
      </c>
      <c r="I426" s="81">
        <f t="shared" si="50"/>
        <v>54.717697992008013</v>
      </c>
      <c r="J426" s="81">
        <f t="shared" si="50"/>
        <v>73.775743157319383</v>
      </c>
      <c r="K426" s="81">
        <f t="shared" si="50"/>
        <v>73.775743157319383</v>
      </c>
      <c r="L426" s="81">
        <f t="shared" si="50"/>
        <v>73.775743157319383</v>
      </c>
      <c r="M426" s="81">
        <f t="shared" si="50"/>
        <v>73.775743157319383</v>
      </c>
      <c r="N426" s="81">
        <f t="shared" si="50"/>
        <v>76.137602325964792</v>
      </c>
      <c r="O426" s="81">
        <f t="shared" si="50"/>
        <v>76.137602325964792</v>
      </c>
    </row>
    <row r="427" spans="1:15" x14ac:dyDescent="0.35">
      <c r="A427" s="57"/>
      <c r="B427" s="5" t="s">
        <v>113</v>
      </c>
      <c r="D427" s="81">
        <f t="shared" ref="D427:O427" si="51">$C411*D411</f>
        <v>18.301465000000004</v>
      </c>
      <c r="E427" s="81">
        <f t="shared" si="51"/>
        <v>18.301465000000004</v>
      </c>
      <c r="F427" s="81">
        <f t="shared" si="51"/>
        <v>18.301465000000004</v>
      </c>
      <c r="G427" s="81">
        <f t="shared" si="51"/>
        <v>18.301465000000004</v>
      </c>
      <c r="H427" s="81">
        <f t="shared" si="51"/>
        <v>18.301465000000004</v>
      </c>
      <c r="I427" s="81">
        <f t="shared" si="51"/>
        <v>18.301465000000004</v>
      </c>
      <c r="J427" s="81">
        <f t="shared" si="51"/>
        <v>18.301465000000004</v>
      </c>
      <c r="K427" s="81">
        <f t="shared" si="51"/>
        <v>18.301465000000004</v>
      </c>
      <c r="L427" s="81">
        <f t="shared" si="51"/>
        <v>18.301465000000004</v>
      </c>
      <c r="M427" s="81">
        <f t="shared" si="51"/>
        <v>18.301465000000004</v>
      </c>
      <c r="N427" s="81">
        <f t="shared" si="51"/>
        <v>18.301465000000004</v>
      </c>
      <c r="O427" s="81">
        <f t="shared" si="51"/>
        <v>18.301465000000004</v>
      </c>
    </row>
    <row r="428" spans="1:15" x14ac:dyDescent="0.35">
      <c r="B428" s="5" t="s">
        <v>114</v>
      </c>
      <c r="D428" s="81">
        <f t="shared" ref="D428:O428" si="52">$C412*D412</f>
        <v>0</v>
      </c>
      <c r="E428" s="81">
        <f t="shared" si="52"/>
        <v>0</v>
      </c>
      <c r="F428" s="81">
        <f t="shared" si="52"/>
        <v>0</v>
      </c>
      <c r="G428" s="81">
        <f t="shared" si="52"/>
        <v>23.141439880000004</v>
      </c>
      <c r="H428" s="81">
        <f t="shared" si="52"/>
        <v>0</v>
      </c>
      <c r="I428" s="81">
        <f t="shared" si="52"/>
        <v>0</v>
      </c>
      <c r="J428" s="81">
        <f t="shared" si="52"/>
        <v>30.184486800000002</v>
      </c>
      <c r="K428" s="81">
        <f t="shared" si="52"/>
        <v>30.184486800000002</v>
      </c>
      <c r="L428" s="81">
        <f t="shared" si="52"/>
        <v>30.184486800000002</v>
      </c>
      <c r="M428" s="81">
        <f t="shared" si="52"/>
        <v>30.184486800000002</v>
      </c>
      <c r="N428" s="81">
        <f t="shared" si="52"/>
        <v>100.61495600000001</v>
      </c>
      <c r="O428" s="81">
        <f t="shared" si="52"/>
        <v>100.61495600000001</v>
      </c>
    </row>
    <row r="429" spans="1:15" ht="15" thickBot="1" x14ac:dyDescent="0.4"/>
    <row r="430" spans="1:15" ht="15" thickTop="1" x14ac:dyDescent="0.35">
      <c r="A430" s="5" t="s">
        <v>53</v>
      </c>
      <c r="B430" s="5" t="s">
        <v>77</v>
      </c>
      <c r="D430" s="92">
        <f>SUM(D417:D419)</f>
        <v>93.555535955592092</v>
      </c>
      <c r="E430" s="93">
        <f t="shared" ref="E430:O430" si="53">SUM(E417:E419)</f>
        <v>93.555535955592092</v>
      </c>
      <c r="F430" s="93">
        <f t="shared" si="53"/>
        <v>93.555535955592092</v>
      </c>
      <c r="G430" s="93">
        <f t="shared" si="53"/>
        <v>118.30011256374237</v>
      </c>
      <c r="H430" s="93">
        <f t="shared" si="53"/>
        <v>84.785867155969058</v>
      </c>
      <c r="I430" s="93">
        <f t="shared" si="53"/>
        <v>84.785867155969058</v>
      </c>
      <c r="J430" s="93">
        <f t="shared" si="53"/>
        <v>129.80547132436618</v>
      </c>
      <c r="K430" s="93">
        <f t="shared" si="53"/>
        <v>129.80547132436618</v>
      </c>
      <c r="L430" s="93">
        <f t="shared" si="53"/>
        <v>129.80547132436618</v>
      </c>
      <c r="M430" s="93">
        <f t="shared" si="53"/>
        <v>129.80547132436618</v>
      </c>
      <c r="N430" s="93">
        <f t="shared" si="53"/>
        <v>186.71601612043418</v>
      </c>
      <c r="O430" s="94">
        <f t="shared" si="53"/>
        <v>186.71601612043418</v>
      </c>
    </row>
    <row r="431" spans="1:15" x14ac:dyDescent="0.35">
      <c r="A431" s="5" t="s">
        <v>54</v>
      </c>
      <c r="B431" s="5" t="s">
        <v>77</v>
      </c>
      <c r="D431" s="95">
        <f>SUM(D420:D422)</f>
        <v>88.781196425870704</v>
      </c>
      <c r="E431" s="91">
        <f t="shared" ref="E431:O431" si="54">SUM(E420:E422)</f>
        <v>88.781196425870704</v>
      </c>
      <c r="F431" s="91">
        <f t="shared" si="54"/>
        <v>88.781196425870704</v>
      </c>
      <c r="G431" s="91">
        <f t="shared" si="54"/>
        <v>109.62708435020548</v>
      </c>
      <c r="H431" s="91">
        <f t="shared" si="54"/>
        <v>81.865335288720402</v>
      </c>
      <c r="I431" s="91">
        <f t="shared" si="54"/>
        <v>81.865335288720402</v>
      </c>
      <c r="J431" s="91">
        <f t="shared" si="54"/>
        <v>119.10574285094322</v>
      </c>
      <c r="K431" s="91">
        <f t="shared" si="54"/>
        <v>119.10574285094322</v>
      </c>
      <c r="L431" s="91">
        <f t="shared" si="54"/>
        <v>119.10574285094322</v>
      </c>
      <c r="M431" s="91">
        <f t="shared" si="54"/>
        <v>119.10574285094322</v>
      </c>
      <c r="N431" s="91">
        <f t="shared" si="54"/>
        <v>168.04005916331519</v>
      </c>
      <c r="O431" s="96">
        <f t="shared" si="54"/>
        <v>168.04005916331519</v>
      </c>
    </row>
    <row r="432" spans="1:15" x14ac:dyDescent="0.35">
      <c r="A432" s="5" t="s">
        <v>55</v>
      </c>
      <c r="B432" s="5" t="s">
        <v>77</v>
      </c>
      <c r="D432" s="95">
        <f>SUM(D423:D425)</f>
        <v>110.70660996875577</v>
      </c>
      <c r="E432" s="91">
        <f t="shared" ref="E432:O432" si="55">SUM(E423:E425)</f>
        <v>110.70660996875577</v>
      </c>
      <c r="F432" s="91">
        <f t="shared" si="55"/>
        <v>110.70660996875577</v>
      </c>
      <c r="G432" s="91">
        <f t="shared" si="55"/>
        <v>134.12127700682069</v>
      </c>
      <c r="H432" s="91">
        <f t="shared" si="55"/>
        <v>99.763286317629394</v>
      </c>
      <c r="I432" s="91">
        <f t="shared" si="55"/>
        <v>99.763286317629394</v>
      </c>
      <c r="J432" s="91">
        <f t="shared" si="55"/>
        <v>146.20697777854465</v>
      </c>
      <c r="K432" s="91">
        <f t="shared" si="55"/>
        <v>146.20697777854465</v>
      </c>
      <c r="L432" s="91">
        <f t="shared" si="55"/>
        <v>146.20697777854465</v>
      </c>
      <c r="M432" s="91">
        <f t="shared" si="55"/>
        <v>146.20697777854465</v>
      </c>
      <c r="N432" s="91">
        <f t="shared" si="55"/>
        <v>194.50957664965557</v>
      </c>
      <c r="O432" s="96">
        <f t="shared" si="55"/>
        <v>194.50957664965557</v>
      </c>
    </row>
    <row r="433" spans="1:15" ht="15" thickBot="1" x14ac:dyDescent="0.4">
      <c r="A433" s="5" t="s">
        <v>50</v>
      </c>
      <c r="B433" s="5" t="s">
        <v>77</v>
      </c>
      <c r="D433" s="97">
        <f>SUM(D426:D428)</f>
        <v>80.690548869416133</v>
      </c>
      <c r="E433" s="98">
        <f t="shared" ref="E433:O433" si="56">SUM(E426:E428)</f>
        <v>80.690548869416133</v>
      </c>
      <c r="F433" s="98">
        <f t="shared" si="56"/>
        <v>80.690548869416133</v>
      </c>
      <c r="G433" s="98">
        <f t="shared" si="56"/>
        <v>109.89632115350469</v>
      </c>
      <c r="H433" s="98">
        <f t="shared" si="56"/>
        <v>73.01916299200802</v>
      </c>
      <c r="I433" s="98">
        <f t="shared" si="56"/>
        <v>73.01916299200802</v>
      </c>
      <c r="J433" s="98">
        <f t="shared" si="56"/>
        <v>122.26169495731939</v>
      </c>
      <c r="K433" s="98">
        <f t="shared" si="56"/>
        <v>122.26169495731939</v>
      </c>
      <c r="L433" s="98">
        <f t="shared" si="56"/>
        <v>122.26169495731939</v>
      </c>
      <c r="M433" s="98">
        <f t="shared" si="56"/>
        <v>122.26169495731939</v>
      </c>
      <c r="N433" s="98">
        <f t="shared" si="56"/>
        <v>195.05402332596481</v>
      </c>
      <c r="O433" s="99">
        <f t="shared" si="56"/>
        <v>195.05402332596481</v>
      </c>
    </row>
    <row r="434" spans="1:15" ht="15" thickTop="1" x14ac:dyDescent="0.35">
      <c r="D434" s="133" t="s">
        <v>128</v>
      </c>
      <c r="E434" s="13" t="s">
        <v>132</v>
      </c>
    </row>
    <row r="436" spans="1:15" ht="18.5" x14ac:dyDescent="0.45">
      <c r="A436" s="108" t="s">
        <v>121</v>
      </c>
    </row>
    <row r="437" spans="1:15" ht="18.5" x14ac:dyDescent="0.45">
      <c r="A437" s="108"/>
    </row>
    <row r="438" spans="1:15" x14ac:dyDescent="0.35">
      <c r="A438" s="476" t="s">
        <v>463</v>
      </c>
    </row>
    <row r="440" spans="1:15" x14ac:dyDescent="0.35">
      <c r="A440" t="s">
        <v>123</v>
      </c>
    </row>
    <row r="441" spans="1:15" x14ac:dyDescent="0.35">
      <c r="A441" s="109" t="s">
        <v>124</v>
      </c>
    </row>
    <row r="443" spans="1:15" x14ac:dyDescent="0.35">
      <c r="A443" t="s">
        <v>122</v>
      </c>
      <c r="B443" s="625" t="s">
        <v>90</v>
      </c>
      <c r="C443" s="625"/>
    </row>
    <row r="444" spans="1:15" x14ac:dyDescent="0.35">
      <c r="A444" t="s">
        <v>103</v>
      </c>
      <c r="B444" s="5"/>
      <c r="C444" s="5" t="s">
        <v>104</v>
      </c>
    </row>
    <row r="445" spans="1:15" ht="15" thickBot="1" x14ac:dyDescent="0.4">
      <c r="B445" s="5" t="s">
        <v>102</v>
      </c>
      <c r="C445" s="5" t="s">
        <v>105</v>
      </c>
      <c r="D445" t="s">
        <v>91</v>
      </c>
    </row>
    <row r="446" spans="1:15" ht="15" thickTop="1" x14ac:dyDescent="0.35">
      <c r="A446" t="s">
        <v>484</v>
      </c>
      <c r="B446" s="52">
        <v>2.4999999999999996</v>
      </c>
      <c r="C446" s="45">
        <f>E368</f>
        <v>728.74493927125502</v>
      </c>
      <c r="D446" s="5" t="s">
        <v>53</v>
      </c>
      <c r="E446" s="59">
        <f>-(B446*C446+B447*C447+B448*C448)/SUM(C446:C448)</f>
        <v>-2.3825122451304246</v>
      </c>
    </row>
    <row r="447" spans="1:15" x14ac:dyDescent="0.35">
      <c r="A447" t="s">
        <v>485</v>
      </c>
      <c r="B447" s="53">
        <v>2.6849999999999996</v>
      </c>
      <c r="C447" s="45">
        <f t="shared" ref="C447:C455" si="57">E369</f>
        <v>100</v>
      </c>
      <c r="D447" s="5" t="s">
        <v>54</v>
      </c>
      <c r="E447" s="60">
        <f>-B449</f>
        <v>-2.7449999999999997</v>
      </c>
    </row>
    <row r="448" spans="1:15" x14ac:dyDescent="0.35">
      <c r="A448" t="s">
        <v>487</v>
      </c>
      <c r="B448" s="53">
        <v>2.34</v>
      </c>
      <c r="C448" s="45">
        <f t="shared" si="57"/>
        <v>2725.5060728744938</v>
      </c>
      <c r="D448" s="5" t="s">
        <v>55</v>
      </c>
      <c r="E448" s="60">
        <f>-(B450*C450+B452*C452+B453*C453+B454*C454+B455*C455)/(C450+SUM(C452:D455))</f>
        <v>-3.1899840768094698</v>
      </c>
    </row>
    <row r="449" spans="1:7" ht="15" thickBot="1" x14ac:dyDescent="0.4">
      <c r="A449" t="s">
        <v>486</v>
      </c>
      <c r="B449" s="53">
        <v>2.7449999999999997</v>
      </c>
      <c r="C449" s="45">
        <f t="shared" si="57"/>
        <v>100</v>
      </c>
      <c r="D449" s="5" t="s">
        <v>50</v>
      </c>
      <c r="E449" s="61">
        <f>-B451</f>
        <v>-2.3400000000000003</v>
      </c>
      <c r="F449" s="133" t="s">
        <v>128</v>
      </c>
      <c r="G449" s="13" t="s">
        <v>131</v>
      </c>
    </row>
    <row r="450" spans="1:7" ht="15" thickTop="1" x14ac:dyDescent="0.35">
      <c r="A450" t="s">
        <v>488</v>
      </c>
      <c r="B450" s="53">
        <v>3.41</v>
      </c>
      <c r="C450" s="45">
        <f t="shared" si="57"/>
        <v>27243.724696356272</v>
      </c>
    </row>
    <row r="451" spans="1:7" x14ac:dyDescent="0.35">
      <c r="A451" s="169" t="s">
        <v>516</v>
      </c>
      <c r="B451" s="53">
        <v>2.3400000000000003</v>
      </c>
      <c r="C451" s="45">
        <f t="shared" si="57"/>
        <v>100</v>
      </c>
      <c r="D451" s="5"/>
      <c r="E451" s="110"/>
    </row>
    <row r="452" spans="1:7" x14ac:dyDescent="0.35">
      <c r="A452" t="s">
        <v>493</v>
      </c>
      <c r="B452" s="53">
        <v>2.2450000000000001</v>
      </c>
      <c r="C452" s="45">
        <f t="shared" si="57"/>
        <v>6803.643724696356</v>
      </c>
    </row>
    <row r="453" spans="1:7" x14ac:dyDescent="0.35">
      <c r="A453" t="s">
        <v>490</v>
      </c>
      <c r="B453" s="53">
        <v>3.14</v>
      </c>
      <c r="C453" s="45">
        <f t="shared" si="57"/>
        <v>100</v>
      </c>
    </row>
    <row r="454" spans="1:7" x14ac:dyDescent="0.35">
      <c r="A454" t="s">
        <v>491</v>
      </c>
      <c r="B454" s="53">
        <v>1.9125000000000001</v>
      </c>
      <c r="C454" s="45">
        <f t="shared" si="57"/>
        <v>100</v>
      </c>
    </row>
    <row r="455" spans="1:7" ht="15" thickBot="1" x14ac:dyDescent="0.4">
      <c r="A455" t="s">
        <v>494</v>
      </c>
      <c r="B455" s="54">
        <v>3.41</v>
      </c>
      <c r="C455" s="45">
        <f t="shared" si="57"/>
        <v>2581.7611336032387</v>
      </c>
    </row>
    <row r="456" spans="1:7" ht="15" thickTop="1" x14ac:dyDescent="0.35">
      <c r="A456" t="s">
        <v>509</v>
      </c>
    </row>
    <row r="461" spans="1:7" x14ac:dyDescent="0.35">
      <c r="A461" s="82" t="s">
        <v>125</v>
      </c>
    </row>
  </sheetData>
  <mergeCells count="38">
    <mergeCell ref="U29:Y29"/>
    <mergeCell ref="A21:G21"/>
    <mergeCell ref="B443:C443"/>
    <mergeCell ref="F119:H119"/>
    <mergeCell ref="G120:H120"/>
    <mergeCell ref="B214:C214"/>
    <mergeCell ref="B325:C325"/>
    <mergeCell ref="F326:H326"/>
    <mergeCell ref="G327:H327"/>
    <mergeCell ref="B179:C179"/>
    <mergeCell ref="B193:C193"/>
    <mergeCell ref="B251:C251"/>
    <mergeCell ref="F252:H252"/>
    <mergeCell ref="G253:H253"/>
    <mergeCell ref="B288:C288"/>
    <mergeCell ref="F289:H289"/>
    <mergeCell ref="G290:H290"/>
    <mergeCell ref="G216:H216"/>
    <mergeCell ref="G127:H127"/>
    <mergeCell ref="D178:E178"/>
    <mergeCell ref="F215:H215"/>
    <mergeCell ref="C164:E164"/>
    <mergeCell ref="K163:O163"/>
    <mergeCell ref="K164:O164"/>
    <mergeCell ref="F163:I163"/>
    <mergeCell ref="B163:E163"/>
    <mergeCell ref="B4:D4"/>
    <mergeCell ref="B118:C118"/>
    <mergeCell ref="A8:G8"/>
    <mergeCell ref="A9:G9"/>
    <mergeCell ref="A16:G16"/>
    <mergeCell ref="A20:G20"/>
    <mergeCell ref="A7:G7"/>
    <mergeCell ref="A14:G14"/>
    <mergeCell ref="A15:G15"/>
    <mergeCell ref="A17:G17"/>
    <mergeCell ref="A18:G18"/>
    <mergeCell ref="A19:G19"/>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7E96F-3C5D-4F86-B729-A02F6AF7B7A9}">
  <dimension ref="A1:K88"/>
  <sheetViews>
    <sheetView topLeftCell="A67" workbookViewId="0">
      <selection activeCell="A61" sqref="A61"/>
    </sheetView>
  </sheetViews>
  <sheetFormatPr defaultRowHeight="14.5" x14ac:dyDescent="0.35"/>
  <cols>
    <col min="1" max="1" width="28.453125" customWidth="1"/>
    <col min="2" max="3" width="10.453125" customWidth="1"/>
    <col min="4" max="4" width="10.26953125" customWidth="1"/>
    <col min="5" max="7" width="10.453125" customWidth="1"/>
    <col min="8" max="8" width="9.81640625" customWidth="1"/>
  </cols>
  <sheetData>
    <row r="1" spans="1:8" ht="18.5" x14ac:dyDescent="0.45">
      <c r="A1" s="1" t="s">
        <v>248</v>
      </c>
    </row>
    <row r="2" spans="1:8" x14ac:dyDescent="0.35">
      <c r="A2" s="313" t="s">
        <v>252</v>
      </c>
    </row>
    <row r="4" spans="1:8" x14ac:dyDescent="0.35">
      <c r="A4" s="185" t="s">
        <v>397</v>
      </c>
    </row>
    <row r="5" spans="1:8" ht="28.5" customHeight="1" x14ac:dyDescent="0.35">
      <c r="A5" s="622" t="s">
        <v>550</v>
      </c>
      <c r="B5" s="622"/>
      <c r="C5" s="622"/>
      <c r="D5" s="622"/>
      <c r="E5" s="622"/>
      <c r="F5" s="622"/>
      <c r="G5" s="622"/>
    </row>
    <row r="6" spans="1:8" ht="28.5" customHeight="1" x14ac:dyDescent="0.35">
      <c r="A6" s="622" t="s">
        <v>549</v>
      </c>
      <c r="B6" s="622"/>
      <c r="C6" s="622"/>
      <c r="D6" s="622"/>
      <c r="E6" s="622"/>
      <c r="F6" s="622"/>
      <c r="G6" s="622"/>
    </row>
    <row r="7" spans="1:8" x14ac:dyDescent="0.35">
      <c r="A7" s="630"/>
      <c r="B7" s="630"/>
      <c r="C7" s="630"/>
      <c r="D7" s="630"/>
      <c r="E7" s="630"/>
      <c r="F7" s="630"/>
      <c r="G7" s="630"/>
    </row>
    <row r="8" spans="1:8" x14ac:dyDescent="0.35">
      <c r="A8" s="630"/>
      <c r="B8" s="630"/>
      <c r="C8" s="630"/>
      <c r="D8" s="630"/>
      <c r="E8" s="630"/>
      <c r="F8" s="630"/>
      <c r="G8" s="630"/>
    </row>
    <row r="9" spans="1:8" x14ac:dyDescent="0.35">
      <c r="A9" s="2" t="s">
        <v>173</v>
      </c>
    </row>
    <row r="10" spans="1:8" x14ac:dyDescent="0.35">
      <c r="A10" s="2"/>
    </row>
    <row r="11" spans="1:8" x14ac:dyDescent="0.35">
      <c r="A11" s="2" t="s">
        <v>464</v>
      </c>
    </row>
    <row r="13" spans="1:8" x14ac:dyDescent="0.35">
      <c r="B13">
        <f>Intro!B23</f>
        <v>2016</v>
      </c>
    </row>
    <row r="14" spans="1:8" x14ac:dyDescent="0.35">
      <c r="A14" s="180">
        <f>Intro!B22</f>
        <v>2011</v>
      </c>
      <c r="B14" s="16" t="s">
        <v>4</v>
      </c>
      <c r="C14" s="252" t="s">
        <v>6</v>
      </c>
      <c r="D14" s="257" t="s">
        <v>5</v>
      </c>
      <c r="E14" s="18" t="s">
        <v>50</v>
      </c>
      <c r="F14" s="19" t="s">
        <v>51</v>
      </c>
      <c r="G14" s="20" t="s">
        <v>52</v>
      </c>
      <c r="H14" s="202"/>
    </row>
    <row r="15" spans="1:8" x14ac:dyDescent="0.35">
      <c r="A15" s="16" t="s">
        <v>4</v>
      </c>
      <c r="B15" s="271"/>
      <c r="C15" s="272"/>
      <c r="D15" s="271"/>
      <c r="E15" s="273"/>
      <c r="F15" s="271"/>
      <c r="G15" s="272"/>
      <c r="H15" s="203"/>
    </row>
    <row r="16" spans="1:8" x14ac:dyDescent="0.35">
      <c r="A16" s="252" t="s">
        <v>6</v>
      </c>
      <c r="B16" s="272"/>
      <c r="C16" s="191">
        <f>D47</f>
        <v>-3.53</v>
      </c>
      <c r="D16" s="191">
        <f>(C16+D17)/2</f>
        <v>-3.53</v>
      </c>
      <c r="E16" s="192">
        <f>(C16+E18)/2</f>
        <v>-3.53</v>
      </c>
      <c r="F16" s="193">
        <f>(C16+F19)/2</f>
        <v>-3.53</v>
      </c>
      <c r="G16" s="192">
        <f>(F16+G17)/2</f>
        <v>-3.53</v>
      </c>
      <c r="H16" s="204"/>
    </row>
    <row r="17" spans="1:9" x14ac:dyDescent="0.35">
      <c r="A17" s="254" t="s">
        <v>5</v>
      </c>
      <c r="B17" s="271"/>
      <c r="C17" s="191">
        <f>(C16+D17)/2</f>
        <v>-3.53</v>
      </c>
      <c r="D17" s="191">
        <f>F47</f>
        <v>-3.53</v>
      </c>
      <c r="E17" s="192">
        <f>(D17+E18)/2</f>
        <v>-3.53</v>
      </c>
      <c r="F17" s="191">
        <f>(D17+F19)/2</f>
        <v>-3.53</v>
      </c>
      <c r="G17" s="193">
        <f>(D17+G20)/2</f>
        <v>-3.53</v>
      </c>
      <c r="H17" s="204"/>
    </row>
    <row r="18" spans="1:9" x14ac:dyDescent="0.35">
      <c r="A18" s="18" t="s">
        <v>50</v>
      </c>
      <c r="B18" s="272"/>
      <c r="C18" s="193">
        <f>(C16+E18)/2</f>
        <v>-3.53</v>
      </c>
      <c r="D18" s="193">
        <f>(D17+E18)/2</f>
        <v>-3.53</v>
      </c>
      <c r="E18" s="192">
        <f>H47</f>
        <v>-3.53</v>
      </c>
      <c r="F18" s="191">
        <f>(E18+F19)/2</f>
        <v>-3.53</v>
      </c>
      <c r="G18" s="191">
        <f>(E18+G20)/2</f>
        <v>-3.53</v>
      </c>
      <c r="H18" s="204"/>
    </row>
    <row r="19" spans="1:9" x14ac:dyDescent="0.35">
      <c r="A19" s="19" t="s">
        <v>51</v>
      </c>
      <c r="B19" s="272"/>
      <c r="C19" s="193">
        <f>(C16+F19)/2</f>
        <v>-3.53</v>
      </c>
      <c r="D19" s="193">
        <f>(D17+F19)/2</f>
        <v>-3.53</v>
      </c>
      <c r="E19" s="194">
        <f>(E18+F19)/2</f>
        <v>-3.53</v>
      </c>
      <c r="F19" s="191">
        <f>B47</f>
        <v>-3.53</v>
      </c>
      <c r="G19" s="193">
        <f>(F19+G20)/2</f>
        <v>-3.53</v>
      </c>
      <c r="H19" s="204"/>
    </row>
    <row r="20" spans="1:9" x14ac:dyDescent="0.35">
      <c r="A20" s="20" t="s">
        <v>52</v>
      </c>
      <c r="B20" s="271"/>
      <c r="C20" s="193">
        <f>(C16+G20)/2</f>
        <v>-3.53</v>
      </c>
      <c r="D20" s="191">
        <f>(D17+G20)/2</f>
        <v>-3.53</v>
      </c>
      <c r="E20" s="192">
        <f>(E18+G20)/2</f>
        <v>-3.53</v>
      </c>
      <c r="F20" s="193">
        <f>(F19+G20)/2</f>
        <v>-3.53</v>
      </c>
      <c r="G20" s="191">
        <f>J47</f>
        <v>-3.53</v>
      </c>
      <c r="H20" s="204"/>
    </row>
    <row r="21" spans="1:9" x14ac:dyDescent="0.35">
      <c r="E21" s="206"/>
      <c r="F21" s="206"/>
      <c r="G21" s="206"/>
      <c r="H21" s="205"/>
    </row>
    <row r="22" spans="1:9" x14ac:dyDescent="0.35">
      <c r="I22" s="6"/>
    </row>
    <row r="23" spans="1:9" x14ac:dyDescent="0.35">
      <c r="A23" s="2" t="s">
        <v>465</v>
      </c>
    </row>
    <row r="25" spans="1:9" x14ac:dyDescent="0.35">
      <c r="B25">
        <f>Intro!B23</f>
        <v>2016</v>
      </c>
    </row>
    <row r="26" spans="1:9" x14ac:dyDescent="0.35">
      <c r="A26" s="180">
        <f>Intro!B22</f>
        <v>2011</v>
      </c>
      <c r="B26" s="16" t="s">
        <v>4</v>
      </c>
      <c r="C26" s="252" t="s">
        <v>6</v>
      </c>
      <c r="D26" s="257" t="s">
        <v>5</v>
      </c>
      <c r="E26" s="18" t="s">
        <v>50</v>
      </c>
      <c r="F26" s="19" t="s">
        <v>51</v>
      </c>
      <c r="G26" s="20" t="s">
        <v>52</v>
      </c>
      <c r="H26" s="202"/>
    </row>
    <row r="27" spans="1:9" x14ac:dyDescent="0.35">
      <c r="A27" s="16" t="s">
        <v>4</v>
      </c>
      <c r="B27" s="271"/>
      <c r="C27" s="272"/>
      <c r="D27" s="271"/>
      <c r="E27" s="273"/>
      <c r="F27" s="271"/>
      <c r="G27" s="272"/>
      <c r="H27" s="203"/>
    </row>
    <row r="28" spans="1:9" x14ac:dyDescent="0.35">
      <c r="A28" s="252" t="s">
        <v>6</v>
      </c>
      <c r="B28" s="272"/>
      <c r="C28" s="174">
        <f>D71</f>
        <v>103</v>
      </c>
      <c r="D28" s="174">
        <f>(C28+D29)/2</f>
        <v>103</v>
      </c>
      <c r="E28" s="177">
        <f>(C28+E30)/2</f>
        <v>103</v>
      </c>
      <c r="F28" s="175">
        <f>(C28+F31)/2</f>
        <v>103</v>
      </c>
      <c r="G28" s="175">
        <f>(F28+G29)/2</f>
        <v>103</v>
      </c>
      <c r="H28" s="208"/>
    </row>
    <row r="29" spans="1:9" x14ac:dyDescent="0.35">
      <c r="A29" s="254" t="s">
        <v>5</v>
      </c>
      <c r="B29" s="271"/>
      <c r="C29" s="174">
        <f>(C28+D29)/2</f>
        <v>103</v>
      </c>
      <c r="D29" s="174">
        <f>F71</f>
        <v>103</v>
      </c>
      <c r="E29" s="177">
        <f>(D29+E30)/2</f>
        <v>103</v>
      </c>
      <c r="F29" s="174">
        <f>(D29+F31)/2</f>
        <v>103</v>
      </c>
      <c r="G29" s="175">
        <f>(D29+G32)/2</f>
        <v>103</v>
      </c>
      <c r="H29" s="208"/>
    </row>
    <row r="30" spans="1:9" x14ac:dyDescent="0.35">
      <c r="A30" s="18" t="s">
        <v>50</v>
      </c>
      <c r="B30" s="272"/>
      <c r="C30" s="175">
        <f>(C28+E30)/2</f>
        <v>103</v>
      </c>
      <c r="D30" s="175">
        <f>(D29+E30)/2</f>
        <v>103</v>
      </c>
      <c r="E30" s="177">
        <f>H71</f>
        <v>103</v>
      </c>
      <c r="F30" s="175">
        <f>(E30+F31)/2</f>
        <v>103</v>
      </c>
      <c r="G30" s="174">
        <f>(E30+G32)/2</f>
        <v>103</v>
      </c>
      <c r="H30" s="208"/>
    </row>
    <row r="31" spans="1:9" x14ac:dyDescent="0.35">
      <c r="A31" s="19" t="s">
        <v>51</v>
      </c>
      <c r="B31" s="272"/>
      <c r="C31" s="175">
        <f>(C28+F31)/2</f>
        <v>103</v>
      </c>
      <c r="D31" s="175">
        <f>(D29+F31)/2</f>
        <v>103</v>
      </c>
      <c r="E31" s="176">
        <f>(E30+F31)/2</f>
        <v>103</v>
      </c>
      <c r="F31" s="174">
        <f>B71</f>
        <v>103</v>
      </c>
      <c r="G31" s="175">
        <f>(F31+G32)/2</f>
        <v>103</v>
      </c>
      <c r="H31" s="208"/>
    </row>
    <row r="32" spans="1:9" x14ac:dyDescent="0.35">
      <c r="A32" s="20" t="s">
        <v>52</v>
      </c>
      <c r="B32" s="271"/>
      <c r="C32" s="175">
        <f>(C28+G32)/2</f>
        <v>103</v>
      </c>
      <c r="D32" s="174">
        <f>(D29+G32)/2</f>
        <v>103</v>
      </c>
      <c r="E32" s="177">
        <f>(E30+G32)/2</f>
        <v>103</v>
      </c>
      <c r="F32" s="175">
        <f>(F31+G32)/2</f>
        <v>103</v>
      </c>
      <c r="G32" s="174">
        <f>J71</f>
        <v>103</v>
      </c>
      <c r="H32" s="208"/>
    </row>
    <row r="33" spans="1:11" x14ac:dyDescent="0.35">
      <c r="A33" s="210"/>
      <c r="B33" s="207"/>
      <c r="C33" s="211"/>
      <c r="D33" s="211"/>
      <c r="E33" s="211"/>
      <c r="F33" s="211"/>
      <c r="G33" s="211"/>
      <c r="H33" s="209"/>
    </row>
    <row r="35" spans="1:11" s="201" customFormat="1" ht="15.5" x14ac:dyDescent="0.35">
      <c r="A35" s="201" t="s">
        <v>191</v>
      </c>
    </row>
    <row r="37" spans="1:11" x14ac:dyDescent="0.35">
      <c r="A37" s="2" t="s">
        <v>518</v>
      </c>
    </row>
    <row r="39" spans="1:11" x14ac:dyDescent="0.35">
      <c r="B39" t="s">
        <v>334</v>
      </c>
    </row>
    <row r="40" spans="1:11" x14ac:dyDescent="0.35">
      <c r="B40" t="s">
        <v>185</v>
      </c>
    </row>
    <row r="41" spans="1:11" x14ac:dyDescent="0.35">
      <c r="D41" s="82" t="s">
        <v>194</v>
      </c>
    </row>
    <row r="42" spans="1:11" x14ac:dyDescent="0.35">
      <c r="B42" s="619" t="s">
        <v>8</v>
      </c>
      <c r="C42" s="619"/>
      <c r="D42" s="619" t="s">
        <v>6</v>
      </c>
      <c r="E42" s="619"/>
      <c r="F42" s="619" t="s">
        <v>5</v>
      </c>
      <c r="G42" s="619"/>
      <c r="H42" s="619" t="s">
        <v>50</v>
      </c>
      <c r="I42" s="619"/>
      <c r="J42" s="619" t="s">
        <v>52</v>
      </c>
      <c r="K42" s="619"/>
    </row>
    <row r="43" spans="1:11" x14ac:dyDescent="0.35">
      <c r="A43" s="197" t="s">
        <v>90</v>
      </c>
      <c r="B43" s="619" t="s">
        <v>181</v>
      </c>
      <c r="C43" s="619"/>
      <c r="D43" s="619" t="s">
        <v>181</v>
      </c>
      <c r="E43" s="619"/>
      <c r="F43" s="619" t="s">
        <v>181</v>
      </c>
      <c r="G43" s="619"/>
      <c r="H43" s="619" t="s">
        <v>181</v>
      </c>
      <c r="I43" s="619"/>
      <c r="J43" s="619" t="s">
        <v>181</v>
      </c>
      <c r="K43" s="619"/>
    </row>
    <row r="44" spans="1:11" x14ac:dyDescent="0.35">
      <c r="A44" s="190" t="s">
        <v>180</v>
      </c>
      <c r="B44" s="190" t="s">
        <v>182</v>
      </c>
      <c r="C44" s="190" t="s">
        <v>183</v>
      </c>
      <c r="D44" s="190" t="s">
        <v>182</v>
      </c>
      <c r="E44" s="190" t="s">
        <v>183</v>
      </c>
      <c r="F44" s="190" t="s">
        <v>182</v>
      </c>
      <c r="G44" s="190" t="s">
        <v>183</v>
      </c>
      <c r="H44" s="190" t="s">
        <v>182</v>
      </c>
      <c r="I44" s="190" t="s">
        <v>183</v>
      </c>
      <c r="J44" s="190" t="s">
        <v>182</v>
      </c>
      <c r="K44" s="190" t="s">
        <v>183</v>
      </c>
    </row>
    <row r="45" spans="1:11" x14ac:dyDescent="0.35">
      <c r="B45" s="172" t="s">
        <v>184</v>
      </c>
      <c r="C45" s="172" t="s">
        <v>184</v>
      </c>
    </row>
    <row r="46" spans="1:11" ht="15" thickBot="1" x14ac:dyDescent="0.4">
      <c r="A46" s="501" t="s">
        <v>547</v>
      </c>
      <c r="B46" s="500"/>
      <c r="C46" s="500"/>
    </row>
    <row r="47" spans="1:11" ht="15.5" thickTop="1" thickBot="1" x14ac:dyDescent="0.4">
      <c r="A47" s="501" t="s">
        <v>520</v>
      </c>
      <c r="B47" s="519">
        <v>-3.53</v>
      </c>
      <c r="C47">
        <v>-2.57</v>
      </c>
      <c r="D47" s="524">
        <f t="shared" ref="D47:J47" si="0">$B47</f>
        <v>-3.53</v>
      </c>
      <c r="F47" s="524">
        <f t="shared" si="0"/>
        <v>-3.53</v>
      </c>
      <c r="H47" s="524">
        <f t="shared" si="0"/>
        <v>-3.53</v>
      </c>
      <c r="J47" s="524">
        <f t="shared" si="0"/>
        <v>-3.53</v>
      </c>
      <c r="K47" s="36"/>
    </row>
    <row r="48" spans="1:11" ht="15.5" thickTop="1" thickBot="1" x14ac:dyDescent="0.4">
      <c r="A48" s="5"/>
      <c r="B48" s="514"/>
      <c r="C48" s="109"/>
      <c r="D48" s="523"/>
      <c r="E48" s="36"/>
      <c r="F48" s="520"/>
      <c r="G48" s="36"/>
      <c r="H48" s="520"/>
      <c r="I48" s="36"/>
      <c r="J48" s="520"/>
      <c r="K48" s="36"/>
    </row>
    <row r="49" spans="1:11" ht="15" thickTop="1" x14ac:dyDescent="0.35">
      <c r="A49" s="5" t="s">
        <v>519</v>
      </c>
      <c r="B49" s="530">
        <v>-2.62</v>
      </c>
      <c r="C49" s="109">
        <v>-1.91</v>
      </c>
      <c r="D49" s="60">
        <f>$B49</f>
        <v>-2.62</v>
      </c>
      <c r="E49" s="36"/>
      <c r="F49" s="60">
        <f>$B49</f>
        <v>-2.62</v>
      </c>
      <c r="G49" s="36"/>
      <c r="H49" s="60">
        <f>$B49</f>
        <v>-2.62</v>
      </c>
      <c r="I49" s="36"/>
      <c r="J49" s="60">
        <f>$B49</f>
        <v>-2.62</v>
      </c>
      <c r="K49" s="36"/>
    </row>
    <row r="50" spans="1:11" x14ac:dyDescent="0.35">
      <c r="A50" s="5" t="s">
        <v>528</v>
      </c>
      <c r="B50" s="531">
        <v>-3.66</v>
      </c>
      <c r="C50" s="109">
        <v>-2.67</v>
      </c>
      <c r="D50" s="60">
        <f>$B50</f>
        <v>-3.66</v>
      </c>
      <c r="E50" s="36"/>
      <c r="F50" s="60">
        <f>$B50</f>
        <v>-3.66</v>
      </c>
      <c r="G50" s="36"/>
      <c r="H50" s="60">
        <f>$B50</f>
        <v>-3.66</v>
      </c>
      <c r="I50" s="36"/>
      <c r="J50" s="60">
        <f>$B50</f>
        <v>-3.66</v>
      </c>
      <c r="K50" s="36"/>
    </row>
    <row r="51" spans="1:11" x14ac:dyDescent="0.35">
      <c r="A51" s="5" t="s">
        <v>525</v>
      </c>
      <c r="B51" s="531">
        <v>-2.42</v>
      </c>
      <c r="C51" s="109">
        <v>-1.76</v>
      </c>
      <c r="D51" s="60">
        <f t="shared" ref="D51:J61" si="1">$B51</f>
        <v>-2.42</v>
      </c>
      <c r="E51" s="36"/>
      <c r="F51" s="60">
        <f t="shared" si="1"/>
        <v>-2.42</v>
      </c>
      <c r="G51" s="36"/>
      <c r="H51" s="60">
        <f t="shared" si="1"/>
        <v>-2.42</v>
      </c>
      <c r="I51" s="36"/>
      <c r="J51" s="60">
        <f t="shared" si="1"/>
        <v>-2.42</v>
      </c>
      <c r="K51" s="36"/>
    </row>
    <row r="52" spans="1:11" x14ac:dyDescent="0.35">
      <c r="A52" s="5" t="s">
        <v>520</v>
      </c>
      <c r="B52" s="531">
        <v>-3.53</v>
      </c>
      <c r="C52" s="109">
        <v>-2.57</v>
      </c>
      <c r="D52" s="60">
        <f t="shared" si="1"/>
        <v>-3.53</v>
      </c>
      <c r="E52" s="36"/>
      <c r="F52" s="60">
        <f t="shared" si="1"/>
        <v>-3.53</v>
      </c>
      <c r="G52" s="36"/>
      <c r="H52" s="60">
        <f t="shared" si="1"/>
        <v>-3.53</v>
      </c>
      <c r="I52" s="36"/>
      <c r="J52" s="60">
        <f t="shared" si="1"/>
        <v>-3.53</v>
      </c>
      <c r="K52" s="36"/>
    </row>
    <row r="53" spans="1:11" x14ac:dyDescent="0.35">
      <c r="A53" s="5" t="s">
        <v>521</v>
      </c>
      <c r="B53" s="531">
        <v>-2.78</v>
      </c>
      <c r="C53" s="109">
        <v>-2.0299999999999998</v>
      </c>
      <c r="D53" s="60">
        <f t="shared" si="1"/>
        <v>-2.78</v>
      </c>
      <c r="E53" s="36"/>
      <c r="F53" s="60">
        <f t="shared" si="1"/>
        <v>-2.78</v>
      </c>
      <c r="G53" s="36"/>
      <c r="H53" s="60">
        <f t="shared" si="1"/>
        <v>-2.78</v>
      </c>
      <c r="I53" s="36"/>
      <c r="J53" s="60">
        <f t="shared" si="1"/>
        <v>-2.78</v>
      </c>
      <c r="K53" s="36"/>
    </row>
    <row r="54" spans="1:11" x14ac:dyDescent="0.35">
      <c r="A54" s="5" t="s">
        <v>522</v>
      </c>
      <c r="B54" s="531">
        <v>-2.38</v>
      </c>
      <c r="C54" s="109">
        <v>-1.74</v>
      </c>
      <c r="D54" s="60">
        <f t="shared" si="1"/>
        <v>-2.38</v>
      </c>
      <c r="E54" s="36"/>
      <c r="F54" s="60">
        <f t="shared" si="1"/>
        <v>-2.38</v>
      </c>
      <c r="G54" s="36"/>
      <c r="H54" s="60">
        <f t="shared" si="1"/>
        <v>-2.38</v>
      </c>
      <c r="I54" s="36"/>
      <c r="J54" s="60">
        <f t="shared" si="1"/>
        <v>-2.38</v>
      </c>
      <c r="K54" s="36"/>
    </row>
    <row r="55" spans="1:11" x14ac:dyDescent="0.35">
      <c r="A55" s="103" t="s">
        <v>531</v>
      </c>
      <c r="B55" s="531">
        <v>-3.21</v>
      </c>
      <c r="C55" s="109">
        <v>-2.34</v>
      </c>
      <c r="D55" s="60">
        <f t="shared" si="1"/>
        <v>-3.21</v>
      </c>
      <c r="E55" s="36"/>
      <c r="F55" s="60">
        <f t="shared" si="1"/>
        <v>-3.21</v>
      </c>
      <c r="G55" s="36"/>
      <c r="H55" s="60">
        <f t="shared" si="1"/>
        <v>-3.21</v>
      </c>
      <c r="I55" s="36"/>
      <c r="J55" s="60">
        <f t="shared" si="1"/>
        <v>-3.21</v>
      </c>
      <c r="K55" s="36"/>
    </row>
    <row r="56" spans="1:11" x14ac:dyDescent="0.35">
      <c r="A56" s="5" t="s">
        <v>523</v>
      </c>
      <c r="B56" s="531">
        <v>-2.63</v>
      </c>
      <c r="C56" s="109">
        <v>-1.92</v>
      </c>
      <c r="D56" s="60">
        <f t="shared" si="1"/>
        <v>-2.63</v>
      </c>
      <c r="E56" s="36"/>
      <c r="F56" s="60">
        <f t="shared" si="1"/>
        <v>-2.63</v>
      </c>
      <c r="G56" s="36"/>
      <c r="H56" s="60">
        <f t="shared" si="1"/>
        <v>-2.63</v>
      </c>
      <c r="I56" s="36"/>
      <c r="J56" s="60">
        <f t="shared" si="1"/>
        <v>-2.63</v>
      </c>
      <c r="K56" s="36"/>
    </row>
    <row r="57" spans="1:11" x14ac:dyDescent="0.35">
      <c r="A57" s="5" t="s">
        <v>524</v>
      </c>
      <c r="B57" s="531">
        <v>-2.71</v>
      </c>
      <c r="C57" s="109">
        <v>-1.98</v>
      </c>
      <c r="D57" s="60">
        <f t="shared" si="1"/>
        <v>-2.71</v>
      </c>
      <c r="E57" s="36"/>
      <c r="F57" s="60">
        <f t="shared" si="1"/>
        <v>-2.71</v>
      </c>
      <c r="G57" s="36"/>
      <c r="H57" s="60">
        <f t="shared" si="1"/>
        <v>-2.71</v>
      </c>
      <c r="I57" s="36"/>
      <c r="J57" s="60">
        <f t="shared" si="1"/>
        <v>-2.71</v>
      </c>
      <c r="K57" s="36"/>
    </row>
    <row r="58" spans="1:11" x14ac:dyDescent="0.35">
      <c r="A58" s="5" t="s">
        <v>526</v>
      </c>
      <c r="B58" s="531">
        <v>-2.67</v>
      </c>
      <c r="C58" s="109">
        <v>-1.95</v>
      </c>
      <c r="D58" s="60">
        <f t="shared" si="1"/>
        <v>-2.67</v>
      </c>
      <c r="E58" s="36"/>
      <c r="F58" s="60">
        <f t="shared" si="1"/>
        <v>-2.67</v>
      </c>
      <c r="G58" s="36"/>
      <c r="H58" s="60">
        <f t="shared" si="1"/>
        <v>-2.67</v>
      </c>
      <c r="I58" s="36"/>
      <c r="J58" s="60">
        <f t="shared" si="1"/>
        <v>-2.67</v>
      </c>
      <c r="K58" s="36"/>
    </row>
    <row r="59" spans="1:11" x14ac:dyDescent="0.35">
      <c r="A59" s="5" t="s">
        <v>527</v>
      </c>
      <c r="B59" s="531">
        <v>-2.83</v>
      </c>
      <c r="C59" s="109">
        <v>-2.06</v>
      </c>
      <c r="D59" s="60">
        <f t="shared" si="1"/>
        <v>-2.83</v>
      </c>
      <c r="E59" s="36"/>
      <c r="F59" s="60">
        <f t="shared" si="1"/>
        <v>-2.83</v>
      </c>
      <c r="G59" s="36"/>
      <c r="H59" s="60">
        <f t="shared" si="1"/>
        <v>-2.83</v>
      </c>
      <c r="I59" s="36"/>
      <c r="J59" s="60">
        <f t="shared" si="1"/>
        <v>-2.83</v>
      </c>
      <c r="K59" s="36"/>
    </row>
    <row r="60" spans="1:11" x14ac:dyDescent="0.35">
      <c r="A60" s="5" t="s">
        <v>529</v>
      </c>
      <c r="B60" s="531">
        <v>-2.34</v>
      </c>
      <c r="C60" s="109">
        <v>-1.7</v>
      </c>
      <c r="D60" s="516">
        <f t="shared" si="1"/>
        <v>-2.34</v>
      </c>
      <c r="F60" s="516">
        <f t="shared" si="1"/>
        <v>-2.34</v>
      </c>
      <c r="H60" s="516">
        <f t="shared" si="1"/>
        <v>-2.34</v>
      </c>
      <c r="J60" s="516">
        <f t="shared" si="1"/>
        <v>-2.34</v>
      </c>
    </row>
    <row r="61" spans="1:11" ht="15" thickBot="1" x14ac:dyDescent="0.4">
      <c r="A61" s="5" t="s">
        <v>530</v>
      </c>
      <c r="B61" s="532">
        <v>-2.64</v>
      </c>
      <c r="C61" s="109">
        <v>-1.92</v>
      </c>
      <c r="D61" s="517">
        <f t="shared" si="1"/>
        <v>-2.64</v>
      </c>
      <c r="F61" s="517">
        <f t="shared" si="1"/>
        <v>-2.64</v>
      </c>
      <c r="H61" s="517">
        <f t="shared" si="1"/>
        <v>-2.64</v>
      </c>
      <c r="J61" s="517">
        <f t="shared" si="1"/>
        <v>-2.64</v>
      </c>
    </row>
    <row r="62" spans="1:11" ht="15" thickTop="1" x14ac:dyDescent="0.35">
      <c r="A62" s="5"/>
      <c r="B62" s="515"/>
      <c r="C62" s="109"/>
      <c r="D62" s="11"/>
      <c r="F62" s="11"/>
      <c r="H62" s="11"/>
      <c r="J62" s="11"/>
    </row>
    <row r="63" spans="1:11" ht="15.5" x14ac:dyDescent="0.35">
      <c r="A63" s="201" t="s">
        <v>192</v>
      </c>
      <c r="C63" s="82"/>
    </row>
    <row r="65" spans="1:11" x14ac:dyDescent="0.35">
      <c r="A65" s="2" t="s">
        <v>586</v>
      </c>
    </row>
    <row r="66" spans="1:11" x14ac:dyDescent="0.35">
      <c r="A66" s="82"/>
      <c r="D66" s="82" t="s">
        <v>193</v>
      </c>
    </row>
    <row r="67" spans="1:11" x14ac:dyDescent="0.35">
      <c r="A67" s="503" t="s">
        <v>90</v>
      </c>
      <c r="B67" s="619" t="s">
        <v>8</v>
      </c>
      <c r="C67" s="619"/>
      <c r="D67" s="619" t="s">
        <v>6</v>
      </c>
      <c r="E67" s="619"/>
      <c r="F67" s="619" t="s">
        <v>5</v>
      </c>
      <c r="G67" s="619"/>
      <c r="H67" s="619" t="s">
        <v>50</v>
      </c>
      <c r="I67" s="619"/>
      <c r="J67" s="619" t="s">
        <v>52</v>
      </c>
      <c r="K67" s="619"/>
    </row>
    <row r="68" spans="1:11" x14ac:dyDescent="0.35">
      <c r="A68" s="190" t="s">
        <v>188</v>
      </c>
      <c r="B68" s="190" t="s">
        <v>186</v>
      </c>
      <c r="C68" s="190" t="s">
        <v>189</v>
      </c>
      <c r="D68" s="190" t="s">
        <v>186</v>
      </c>
      <c r="E68" s="190" t="s">
        <v>189</v>
      </c>
      <c r="F68" s="190" t="s">
        <v>186</v>
      </c>
      <c r="G68" s="190" t="s">
        <v>189</v>
      </c>
      <c r="H68" s="190" t="s">
        <v>186</v>
      </c>
      <c r="I68" s="190" t="s">
        <v>189</v>
      </c>
      <c r="J68" s="190" t="s">
        <v>186</v>
      </c>
      <c r="K68" s="190" t="s">
        <v>189</v>
      </c>
    </row>
    <row r="69" spans="1:11" x14ac:dyDescent="0.35">
      <c r="B69" s="195" t="s">
        <v>187</v>
      </c>
      <c r="C69" s="195" t="s">
        <v>190</v>
      </c>
      <c r="D69" s="195" t="s">
        <v>187</v>
      </c>
      <c r="E69" s="195" t="s">
        <v>190</v>
      </c>
      <c r="F69" s="195" t="s">
        <v>187</v>
      </c>
      <c r="G69" s="195" t="s">
        <v>190</v>
      </c>
      <c r="H69" s="195" t="s">
        <v>187</v>
      </c>
      <c r="I69" s="195" t="s">
        <v>190</v>
      </c>
      <c r="J69" s="195" t="s">
        <v>187</v>
      </c>
      <c r="K69" s="195" t="s">
        <v>190</v>
      </c>
    </row>
    <row r="70" spans="1:11" ht="15" thickBot="1" x14ac:dyDescent="0.4">
      <c r="A70" s="13" t="s">
        <v>548</v>
      </c>
      <c r="B70" s="502"/>
      <c r="C70" s="502"/>
      <c r="D70" s="502"/>
      <c r="E70" s="502"/>
      <c r="F70" s="502"/>
      <c r="G70" s="502"/>
      <c r="H70" s="502"/>
      <c r="I70" s="502"/>
      <c r="J70" s="502"/>
      <c r="K70" s="502"/>
    </row>
    <row r="71" spans="1:11" ht="15.5" thickTop="1" thickBot="1" x14ac:dyDescent="0.4">
      <c r="A71" s="501" t="s">
        <v>532</v>
      </c>
      <c r="B71" s="522">
        <v>103</v>
      </c>
      <c r="C71" s="81">
        <v>28.5</v>
      </c>
      <c r="D71" s="524">
        <v>103</v>
      </c>
      <c r="E71" s="81"/>
      <c r="F71" s="524">
        <v>103</v>
      </c>
      <c r="G71" s="81"/>
      <c r="H71" s="524">
        <v>103</v>
      </c>
      <c r="I71" s="81"/>
      <c r="J71" s="524">
        <v>103</v>
      </c>
      <c r="K71" s="196"/>
    </row>
    <row r="72" spans="1:11" ht="15.5" thickTop="1" thickBot="1" x14ac:dyDescent="0.4">
      <c r="A72" s="5"/>
      <c r="B72" s="525"/>
      <c r="C72" s="482"/>
      <c r="D72" s="521"/>
      <c r="E72" s="196"/>
      <c r="F72" s="521"/>
      <c r="G72" s="196"/>
      <c r="H72" s="521"/>
      <c r="I72" s="196"/>
      <c r="J72" s="521"/>
      <c r="K72" s="196"/>
    </row>
    <row r="73" spans="1:11" ht="15" thickTop="1" x14ac:dyDescent="0.35">
      <c r="A73" s="5" t="s">
        <v>532</v>
      </c>
      <c r="B73" s="526">
        <v>103</v>
      </c>
      <c r="C73" s="482">
        <v>28.5</v>
      </c>
      <c r="D73" s="198">
        <f>$B73</f>
        <v>103</v>
      </c>
      <c r="E73" s="196"/>
      <c r="F73" s="198">
        <f>$B73</f>
        <v>103</v>
      </c>
      <c r="G73" s="196"/>
      <c r="H73" s="198">
        <f>$B73</f>
        <v>103</v>
      </c>
      <c r="I73" s="196"/>
      <c r="J73" s="198">
        <f>$B73</f>
        <v>103</v>
      </c>
      <c r="K73" s="196"/>
    </row>
    <row r="74" spans="1:11" x14ac:dyDescent="0.35">
      <c r="A74" s="5" t="s">
        <v>533</v>
      </c>
      <c r="B74" s="527">
        <v>70.2</v>
      </c>
      <c r="C74" s="482">
        <v>28.9</v>
      </c>
      <c r="D74" s="199">
        <f t="shared" ref="D74:J87" si="2">$B74</f>
        <v>70.2</v>
      </c>
      <c r="E74" s="196"/>
      <c r="F74" s="199">
        <f t="shared" si="2"/>
        <v>70.2</v>
      </c>
      <c r="G74" s="196"/>
      <c r="H74" s="199">
        <f t="shared" si="2"/>
        <v>70.2</v>
      </c>
      <c r="I74" s="196"/>
      <c r="J74" s="199">
        <f t="shared" si="2"/>
        <v>70.2</v>
      </c>
      <c r="K74" s="196"/>
    </row>
    <row r="75" spans="1:11" x14ac:dyDescent="0.35">
      <c r="A75" s="5" t="s">
        <v>534</v>
      </c>
      <c r="B75" s="527">
        <v>110.4</v>
      </c>
      <c r="C75" s="482">
        <v>16.3</v>
      </c>
      <c r="D75" s="199">
        <f t="shared" si="2"/>
        <v>110.4</v>
      </c>
      <c r="E75" s="196"/>
      <c r="F75" s="199">
        <f t="shared" si="2"/>
        <v>110.4</v>
      </c>
      <c r="G75" s="196"/>
      <c r="H75" s="199">
        <f t="shared" si="2"/>
        <v>110.4</v>
      </c>
      <c r="I75" s="196"/>
      <c r="J75" s="199">
        <f t="shared" si="2"/>
        <v>110.4</v>
      </c>
      <c r="K75" s="196"/>
    </row>
    <row r="76" spans="1:11" x14ac:dyDescent="0.35">
      <c r="A76" s="103" t="s">
        <v>535</v>
      </c>
      <c r="B76" s="528">
        <v>88.3</v>
      </c>
      <c r="C76" s="518">
        <v>20.5</v>
      </c>
      <c r="D76" s="516">
        <f t="shared" si="2"/>
        <v>88.3</v>
      </c>
      <c r="F76" s="516">
        <f t="shared" si="2"/>
        <v>88.3</v>
      </c>
      <c r="H76" s="516">
        <f t="shared" si="2"/>
        <v>88.3</v>
      </c>
      <c r="J76" s="516">
        <f t="shared" si="2"/>
        <v>88.3</v>
      </c>
    </row>
    <row r="77" spans="1:11" x14ac:dyDescent="0.35">
      <c r="A77" s="103" t="s">
        <v>536</v>
      </c>
      <c r="B77" s="528">
        <v>115</v>
      </c>
      <c r="C77" s="518">
        <v>31.2</v>
      </c>
      <c r="D77" s="516">
        <f t="shared" si="2"/>
        <v>115</v>
      </c>
      <c r="F77" s="516">
        <f t="shared" si="2"/>
        <v>115</v>
      </c>
      <c r="H77" s="516">
        <f t="shared" si="2"/>
        <v>115</v>
      </c>
      <c r="J77" s="516">
        <f t="shared" si="2"/>
        <v>115</v>
      </c>
    </row>
    <row r="78" spans="1:11" x14ac:dyDescent="0.35">
      <c r="A78" s="103" t="s">
        <v>537</v>
      </c>
      <c r="B78" s="528">
        <v>108.9</v>
      </c>
      <c r="C78" s="518">
        <v>25.2</v>
      </c>
      <c r="D78" s="516">
        <f t="shared" si="2"/>
        <v>108.9</v>
      </c>
      <c r="F78" s="516">
        <f t="shared" si="2"/>
        <v>108.9</v>
      </c>
      <c r="H78" s="516">
        <f t="shared" si="2"/>
        <v>108.9</v>
      </c>
      <c r="J78" s="516">
        <f t="shared" si="2"/>
        <v>108.9</v>
      </c>
    </row>
    <row r="79" spans="1:11" x14ac:dyDescent="0.35">
      <c r="A79" s="103" t="s">
        <v>538</v>
      </c>
      <c r="B79" s="528">
        <v>43.7</v>
      </c>
      <c r="C79" s="518">
        <v>11.5</v>
      </c>
      <c r="D79" s="516">
        <f t="shared" si="2"/>
        <v>43.7</v>
      </c>
      <c r="F79" s="516">
        <f t="shared" si="2"/>
        <v>43.7</v>
      </c>
      <c r="H79" s="516">
        <f t="shared" si="2"/>
        <v>43.7</v>
      </c>
      <c r="J79" s="516">
        <f t="shared" si="2"/>
        <v>43.7</v>
      </c>
    </row>
    <row r="80" spans="1:11" x14ac:dyDescent="0.35">
      <c r="A80" s="103" t="s">
        <v>539</v>
      </c>
      <c r="B80" s="528">
        <v>99.5</v>
      </c>
      <c r="C80" s="518">
        <v>28</v>
      </c>
      <c r="D80" s="516">
        <f t="shared" si="2"/>
        <v>99.5</v>
      </c>
      <c r="F80" s="516">
        <f t="shared" si="2"/>
        <v>99.5</v>
      </c>
      <c r="H80" s="516">
        <f t="shared" si="2"/>
        <v>99.5</v>
      </c>
      <c r="J80" s="516">
        <f t="shared" si="2"/>
        <v>99.5</v>
      </c>
    </row>
    <row r="81" spans="1:10" x14ac:dyDescent="0.35">
      <c r="A81" s="103" t="s">
        <v>540</v>
      </c>
      <c r="B81" s="528">
        <v>95.2</v>
      </c>
      <c r="C81" s="518">
        <v>39.6</v>
      </c>
      <c r="D81" s="516">
        <f t="shared" si="2"/>
        <v>95.2</v>
      </c>
      <c r="F81" s="516">
        <f t="shared" si="2"/>
        <v>95.2</v>
      </c>
      <c r="H81" s="516">
        <f t="shared" si="2"/>
        <v>95.2</v>
      </c>
      <c r="J81" s="516">
        <f t="shared" si="2"/>
        <v>95.2</v>
      </c>
    </row>
    <row r="82" spans="1:10" x14ac:dyDescent="0.35">
      <c r="A82" s="103" t="s">
        <v>541</v>
      </c>
      <c r="B82" s="528">
        <v>63.2</v>
      </c>
      <c r="C82" s="518">
        <v>20.9</v>
      </c>
      <c r="D82" s="516">
        <f t="shared" si="2"/>
        <v>63.2</v>
      </c>
      <c r="F82" s="516">
        <f t="shared" si="2"/>
        <v>63.2</v>
      </c>
      <c r="H82" s="516">
        <f t="shared" si="2"/>
        <v>63.2</v>
      </c>
      <c r="J82" s="516">
        <f t="shared" si="2"/>
        <v>63.2</v>
      </c>
    </row>
    <row r="83" spans="1:10" x14ac:dyDescent="0.35">
      <c r="A83" s="103" t="s">
        <v>542</v>
      </c>
      <c r="B83" s="528">
        <v>86.5</v>
      </c>
      <c r="C83" s="518">
        <v>20.8</v>
      </c>
      <c r="D83" s="516">
        <f t="shared" si="2"/>
        <v>86.5</v>
      </c>
      <c r="F83" s="516">
        <f t="shared" si="2"/>
        <v>86.5</v>
      </c>
      <c r="H83" s="516">
        <f t="shared" si="2"/>
        <v>86.5</v>
      </c>
      <c r="J83" s="516">
        <f t="shared" si="2"/>
        <v>86.5</v>
      </c>
    </row>
    <row r="84" spans="1:10" x14ac:dyDescent="0.35">
      <c r="A84" s="103" t="s">
        <v>543</v>
      </c>
      <c r="B84" s="528">
        <v>92.4</v>
      </c>
      <c r="C84" s="518">
        <v>22</v>
      </c>
      <c r="D84" s="516">
        <f t="shared" si="2"/>
        <v>92.4</v>
      </c>
      <c r="F84" s="516">
        <f t="shared" si="2"/>
        <v>92.4</v>
      </c>
      <c r="H84" s="516">
        <f t="shared" si="2"/>
        <v>92.4</v>
      </c>
      <c r="J84" s="516">
        <f t="shared" si="2"/>
        <v>92.4</v>
      </c>
    </row>
    <row r="85" spans="1:10" x14ac:dyDescent="0.35">
      <c r="A85" s="103" t="s">
        <v>544</v>
      </c>
      <c r="B85" s="528">
        <v>94.8</v>
      </c>
      <c r="C85" s="518">
        <v>26.9</v>
      </c>
      <c r="D85" s="516">
        <f t="shared" si="2"/>
        <v>94.8</v>
      </c>
      <c r="F85" s="516">
        <f t="shared" si="2"/>
        <v>94.8</v>
      </c>
      <c r="H85" s="516">
        <f t="shared" si="2"/>
        <v>94.8</v>
      </c>
      <c r="J85" s="516">
        <f t="shared" si="2"/>
        <v>94.8</v>
      </c>
    </row>
    <row r="86" spans="1:10" x14ac:dyDescent="0.35">
      <c r="A86" s="103" t="s">
        <v>545</v>
      </c>
      <c r="B86" s="528">
        <v>85.2</v>
      </c>
      <c r="C86" s="518">
        <v>35</v>
      </c>
      <c r="D86" s="516">
        <f t="shared" si="2"/>
        <v>85.2</v>
      </c>
      <c r="F86" s="516">
        <f t="shared" si="2"/>
        <v>85.2</v>
      </c>
      <c r="H86" s="516">
        <f t="shared" si="2"/>
        <v>85.2</v>
      </c>
      <c r="J86" s="516">
        <f t="shared" si="2"/>
        <v>85.2</v>
      </c>
    </row>
    <row r="87" spans="1:10" ht="15" thickBot="1" x14ac:dyDescent="0.4">
      <c r="A87" s="103" t="s">
        <v>546</v>
      </c>
      <c r="B87" s="529">
        <v>81.900000000000006</v>
      </c>
      <c r="C87" s="518">
        <v>29.5</v>
      </c>
      <c r="D87" s="517">
        <f t="shared" si="2"/>
        <v>81.900000000000006</v>
      </c>
      <c r="F87" s="517">
        <f t="shared" si="2"/>
        <v>81.900000000000006</v>
      </c>
      <c r="H87" s="517">
        <f t="shared" si="2"/>
        <v>81.900000000000006</v>
      </c>
      <c r="J87" s="517">
        <f t="shared" si="2"/>
        <v>81.900000000000006</v>
      </c>
    </row>
    <row r="88" spans="1:10" ht="15" thickTop="1" x14ac:dyDescent="0.35"/>
  </sheetData>
  <mergeCells count="19">
    <mergeCell ref="H42:I42"/>
    <mergeCell ref="J42:K42"/>
    <mergeCell ref="H67:I67"/>
    <mergeCell ref="J67:K67"/>
    <mergeCell ref="D43:E43"/>
    <mergeCell ref="F43:G43"/>
    <mergeCell ref="H43:I43"/>
    <mergeCell ref="J43:K43"/>
    <mergeCell ref="A5:G5"/>
    <mergeCell ref="A6:G6"/>
    <mergeCell ref="A7:G7"/>
    <mergeCell ref="A8:G8"/>
    <mergeCell ref="B67:C67"/>
    <mergeCell ref="D67:E67"/>
    <mergeCell ref="F67:G67"/>
    <mergeCell ref="B43:C43"/>
    <mergeCell ref="B42:C42"/>
    <mergeCell ref="D42:E42"/>
    <mergeCell ref="F42:G4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0C3C-FF7B-495C-897F-86494F7D6440}">
  <dimension ref="A1:T138"/>
  <sheetViews>
    <sheetView workbookViewId="0">
      <selection activeCell="G14" sqref="G14"/>
    </sheetView>
  </sheetViews>
  <sheetFormatPr defaultRowHeight="14.5" x14ac:dyDescent="0.35"/>
  <cols>
    <col min="1" max="1" width="28.81640625" customWidth="1"/>
    <col min="2" max="2" width="14.26953125" customWidth="1"/>
    <col min="3" max="19" width="10.54296875" customWidth="1"/>
  </cols>
  <sheetData>
    <row r="1" spans="1:20" ht="18.5" x14ac:dyDescent="0.45">
      <c r="A1" s="1" t="s">
        <v>248</v>
      </c>
    </row>
    <row r="2" spans="1:20" ht="16.5" x14ac:dyDescent="0.35">
      <c r="A2" s="313" t="s">
        <v>372</v>
      </c>
    </row>
    <row r="3" spans="1:20" x14ac:dyDescent="0.35">
      <c r="A3" s="313"/>
    </row>
    <row r="4" spans="1:20" x14ac:dyDescent="0.35">
      <c r="A4" s="185" t="s">
        <v>397</v>
      </c>
    </row>
    <row r="5" spans="1:20" x14ac:dyDescent="0.35">
      <c r="A5" s="483" t="s">
        <v>414</v>
      </c>
    </row>
    <row r="7" spans="1:20" x14ac:dyDescent="0.35">
      <c r="A7" s="2" t="s">
        <v>375</v>
      </c>
      <c r="E7" s="5" t="s">
        <v>168</v>
      </c>
      <c r="F7" s="5" t="s">
        <v>169</v>
      </c>
    </row>
    <row r="8" spans="1:20" x14ac:dyDescent="0.35">
      <c r="A8" t="s">
        <v>171</v>
      </c>
      <c r="E8">
        <f>Intro!B22</f>
        <v>2011</v>
      </c>
      <c r="F8">
        <f>Intro!B23</f>
        <v>2016</v>
      </c>
    </row>
    <row r="9" spans="1:20" x14ac:dyDescent="0.35">
      <c r="A9" s="2" t="s">
        <v>275</v>
      </c>
    </row>
    <row r="10" spans="1:20" x14ac:dyDescent="0.35">
      <c r="A10" s="7" t="s">
        <v>371</v>
      </c>
    </row>
    <row r="11" spans="1:20" x14ac:dyDescent="0.35">
      <c r="A11" s="82" t="s">
        <v>278</v>
      </c>
      <c r="C11" s="2" t="s">
        <v>177</v>
      </c>
      <c r="G11" s="457" t="s">
        <v>373</v>
      </c>
    </row>
    <row r="12" spans="1:20" x14ac:dyDescent="0.35">
      <c r="B12" s="129">
        <f>'1. Stratification'!B24</f>
        <v>2016</v>
      </c>
      <c r="C12" s="16" t="s">
        <v>4</v>
      </c>
      <c r="D12" s="16"/>
      <c r="E12" s="16"/>
      <c r="F12" s="16"/>
      <c r="G12" s="252" t="s">
        <v>6</v>
      </c>
      <c r="H12" s="252"/>
      <c r="I12" s="252"/>
      <c r="J12" s="257" t="s">
        <v>5</v>
      </c>
      <c r="K12" s="18" t="s">
        <v>50</v>
      </c>
      <c r="L12" s="18"/>
      <c r="M12" s="19" t="s">
        <v>51</v>
      </c>
      <c r="N12" s="19"/>
      <c r="O12" s="19"/>
      <c r="P12" s="19"/>
      <c r="Q12" s="20" t="s">
        <v>52</v>
      </c>
      <c r="R12" s="20"/>
    </row>
    <row r="13" spans="1:20" ht="31.5" x14ac:dyDescent="0.35">
      <c r="A13" s="22">
        <f>'1. Stratification'!A25</f>
        <v>2011</v>
      </c>
      <c r="B13" s="21"/>
      <c r="C13" s="23" t="s">
        <v>53</v>
      </c>
      <c r="D13" s="23" t="s">
        <v>54</v>
      </c>
      <c r="E13" s="23" t="s">
        <v>55</v>
      </c>
      <c r="F13" s="23" t="s">
        <v>56</v>
      </c>
      <c r="G13" s="256" t="s">
        <v>57</v>
      </c>
      <c r="H13" s="256" t="s">
        <v>58</v>
      </c>
      <c r="I13" s="256" t="s">
        <v>59</v>
      </c>
      <c r="J13" s="258" t="s">
        <v>117</v>
      </c>
      <c r="K13" s="25" t="s">
        <v>60</v>
      </c>
      <c r="L13" s="25" t="s">
        <v>61</v>
      </c>
      <c r="M13" s="26" t="s">
        <v>62</v>
      </c>
      <c r="N13" s="26" t="s">
        <v>63</v>
      </c>
      <c r="O13" s="26" t="s">
        <v>64</v>
      </c>
      <c r="P13" s="26" t="s">
        <v>65</v>
      </c>
      <c r="Q13" s="27" t="s">
        <v>66</v>
      </c>
      <c r="R13" s="27" t="s">
        <v>67</v>
      </c>
      <c r="S13" s="350"/>
      <c r="T13" s="351"/>
    </row>
    <row r="14" spans="1:20" x14ac:dyDescent="0.35">
      <c r="A14" s="16" t="s">
        <v>4</v>
      </c>
      <c r="B14" s="28" t="s">
        <v>53</v>
      </c>
      <c r="C14" s="111">
        <f>('2a. Forest AD'!C13-'2a. Forest AD'!G49/2)*'3a. Forest EF_RF'!C31*(Intro!$B$23-Intro!$B$22)+G115</f>
        <v>-905.02832070141164</v>
      </c>
      <c r="D14" s="111">
        <f>'2a. Forest AD'!D13*'3a. Forest EF_RF'!D31*(Intro!$B$23-Intro!$B$22)</f>
        <v>-8.7004659167948368</v>
      </c>
      <c r="E14" s="111">
        <f>'2a. Forest AD'!E13*'3a. Forest EF_RF'!E31*(Intro!$B$23-Intro!$B$22)</f>
        <v>-2.961018064387944</v>
      </c>
      <c r="F14" s="111">
        <f>'2a. Forest AD'!F13*'3a. Forest EF_RF'!F31*(Intro!$B$23-Intro!$B$22)</f>
        <v>0</v>
      </c>
      <c r="G14" s="111">
        <f>'2a. Forest AD'!G13*'3a. Forest EF_RF'!G31</f>
        <v>11.221566268910873</v>
      </c>
      <c r="H14" s="111">
        <f>'2a. Forest AD'!H13*'3a. Forest EF_RF'!H31</f>
        <v>376.34821507613555</v>
      </c>
      <c r="I14" s="111">
        <f>'2a. Forest AD'!I13*'3a. Forest EF_RF'!I31</f>
        <v>550.05824674961798</v>
      </c>
      <c r="J14" s="111">
        <f>'2a. Forest AD'!J13*'3a. Forest EF_RF'!J31</f>
        <v>0</v>
      </c>
      <c r="K14" s="111">
        <f>'2a. Forest AD'!K13*'3a. Forest EF_RF'!K31</f>
        <v>25.405467207970215</v>
      </c>
      <c r="L14" s="111">
        <f>'2a. Forest AD'!L13*'3a. Forest EF_RF'!L31</f>
        <v>0</v>
      </c>
      <c r="M14" s="111">
        <f>'2a. Forest AD'!M13*'3a. Forest EF_RF'!M31</f>
        <v>0</v>
      </c>
      <c r="N14" s="111">
        <f>'2a. Forest AD'!N13*'3a. Forest EF_RF'!N31</f>
        <v>7.8009039767642125</v>
      </c>
      <c r="O14" s="111">
        <f>'2a. Forest AD'!O13*'3a. Forest EF_RF'!O31</f>
        <v>0</v>
      </c>
      <c r="P14" s="111">
        <f>'2a. Forest AD'!P13*'3a. Forest EF_RF'!P31</f>
        <v>0</v>
      </c>
      <c r="Q14" s="111">
        <f>'2a. Forest AD'!Q13*'3a. Forest EF_RF'!Q31</f>
        <v>0</v>
      </c>
      <c r="R14" s="111">
        <f>'2a. Forest AD'!R13*'3a. Forest EF_RF'!R31</f>
        <v>0</v>
      </c>
      <c r="S14" s="131"/>
      <c r="T14" s="351"/>
    </row>
    <row r="15" spans="1:20" x14ac:dyDescent="0.35">
      <c r="A15" s="16"/>
      <c r="B15" s="28" t="s">
        <v>54</v>
      </c>
      <c r="C15" s="111">
        <f>'2a. Forest AD'!C14*'3a. Forest EF_RF'!C32*(Intro!$B$23-Intro!$B$22)</f>
        <v>-0.60000236503932869</v>
      </c>
      <c r="D15" s="111">
        <f>('2a. Forest AD'!D14-'2a. Forest AD'!G50/2)*'3a. Forest EF_RF'!D32*(Intro!$B$23-Intro!$B$22)+G116</f>
        <v>-54393.725673213921</v>
      </c>
      <c r="E15" s="111">
        <f>'2a. Forest AD'!E14*'3a. Forest EF_RF'!E32*(Intro!$B$23-Intro!$B$22)</f>
        <v>-11.935712995711221</v>
      </c>
      <c r="F15" s="111">
        <f>'2a. Forest AD'!F14*'3a. Forest EF_RF'!F32*(Intro!$B$23-Intro!$B$22)</f>
        <v>0</v>
      </c>
      <c r="G15" s="111">
        <f>'2a. Forest AD'!G14*'3a. Forest EF_RF'!G32</f>
        <v>31.936400806190157</v>
      </c>
      <c r="H15" s="111">
        <f>'2a. Forest AD'!H14*'3a. Forest EF_RF'!H32</f>
        <v>298.21404739506454</v>
      </c>
      <c r="I15" s="111">
        <f>'2a. Forest AD'!I14*'3a. Forest EF_RF'!I32</f>
        <v>202.3569690229136</v>
      </c>
      <c r="J15" s="111">
        <f>'2a. Forest AD'!J14*'3a. Forest EF_RF'!J32</f>
        <v>52.61213477235718</v>
      </c>
      <c r="K15" s="111">
        <f>'2a. Forest AD'!K14*'3a. Forest EF_RF'!K32</f>
        <v>24.538555639164748</v>
      </c>
      <c r="L15" s="111">
        <f>'2a. Forest AD'!L14*'3a. Forest EF_RF'!L32</f>
        <v>0</v>
      </c>
      <c r="M15" s="111">
        <f>'2a. Forest AD'!M14*'3a. Forest EF_RF'!M32</f>
        <v>7.1476669181380075</v>
      </c>
      <c r="N15" s="111">
        <f>'2a. Forest AD'!N14*'3a. Forest EF_RF'!N32</f>
        <v>35.765361649523655</v>
      </c>
      <c r="O15" s="111">
        <f>'2a. Forest AD'!O14*'3a. Forest EF_RF'!O32</f>
        <v>314.1677477513054</v>
      </c>
      <c r="P15" s="111">
        <f>'2a. Forest AD'!P14*'3a. Forest EF_RF'!P32</f>
        <v>1372.0845903225738</v>
      </c>
      <c r="Q15" s="111">
        <f>'2a. Forest AD'!Q14*'3a. Forest EF_RF'!Q32</f>
        <v>0</v>
      </c>
      <c r="R15" s="111">
        <f>'2a. Forest AD'!R14*'3a. Forest EF_RF'!R32</f>
        <v>0</v>
      </c>
      <c r="S15" s="131"/>
      <c r="T15" s="351"/>
    </row>
    <row r="16" spans="1:20" x14ac:dyDescent="0.35">
      <c r="A16" s="16"/>
      <c r="B16" s="28" t="s">
        <v>55</v>
      </c>
      <c r="C16" s="111">
        <f>'2a. Forest AD'!C15*'3a. Forest EF_RF'!C33*(Intro!$B$23-Intro!$B$22)</f>
        <v>-0.65603944751718224</v>
      </c>
      <c r="D16" s="111">
        <f>'2a. Forest AD'!D15*'3a. Forest EF_RF'!D33*(Intro!$B$23-Intro!$B$22)</f>
        <v>-161.63084972644722</v>
      </c>
      <c r="E16" s="111">
        <f>('2a. Forest AD'!E15-'2a. Forest AD'!G51/2)*'3a. Forest EF_RF'!E33*(Intro!$B$23-Intro!$B$22)+G117</f>
        <v>-285282.76982696011</v>
      </c>
      <c r="F16" s="111">
        <f>'2a. Forest AD'!F15*'3a. Forest EF_RF'!F33*(Intro!$B$23-Intro!$B$22)</f>
        <v>0</v>
      </c>
      <c r="G16" s="111">
        <f>'2a. Forest AD'!G15*'3a. Forest EF_RF'!G33</f>
        <v>411.39316831098091</v>
      </c>
      <c r="H16" s="111">
        <f>'2a. Forest AD'!H15*'3a. Forest EF_RF'!H33</f>
        <v>10486.270631605141</v>
      </c>
      <c r="I16" s="111">
        <f>'2a. Forest AD'!I15*'3a. Forest EF_RF'!I33</f>
        <v>3228.5572341250868</v>
      </c>
      <c r="J16" s="111">
        <f>'2a. Forest AD'!J15*'3a. Forest EF_RF'!J33</f>
        <v>232.96087316777147</v>
      </c>
      <c r="K16" s="111">
        <f>'2a. Forest AD'!K15*'3a. Forest EF_RF'!K33</f>
        <v>311.29920979318013</v>
      </c>
      <c r="L16" s="111">
        <f>'2a. Forest AD'!L15*'3a. Forest EF_RF'!L33</f>
        <v>23.898015140289381</v>
      </c>
      <c r="M16" s="111">
        <f>'2a. Forest AD'!M15*'3a. Forest EF_RF'!M33</f>
        <v>771.80388008960563</v>
      </c>
      <c r="N16" s="111">
        <f>'2a. Forest AD'!N15*'3a. Forest EF_RF'!N33</f>
        <v>4201.5048339946288</v>
      </c>
      <c r="O16" s="111">
        <f>'2a. Forest AD'!O15*'3a. Forest EF_RF'!O33</f>
        <v>5937.3578121202254</v>
      </c>
      <c r="P16" s="111">
        <f>'2a. Forest AD'!P15*'3a. Forest EF_RF'!P33</f>
        <v>9436.5262620937483</v>
      </c>
      <c r="Q16" s="111">
        <f>'2a. Forest AD'!Q15*'3a. Forest EF_RF'!Q33</f>
        <v>0</v>
      </c>
      <c r="R16" s="111">
        <f>'2a. Forest AD'!R15*'3a. Forest EF_RF'!R33</f>
        <v>0</v>
      </c>
      <c r="S16" s="131"/>
      <c r="T16" s="351"/>
    </row>
    <row r="17" spans="1:20" x14ac:dyDescent="0.35">
      <c r="A17" s="16"/>
      <c r="B17" s="28" t="s">
        <v>56</v>
      </c>
      <c r="C17" s="111">
        <f>'2a. Forest AD'!C16*'3a. Forest EF_RF'!C34*(Intro!$B$23-Intro!$B$22)</f>
        <v>0</v>
      </c>
      <c r="D17" s="111">
        <f>'2a. Forest AD'!D16*'3a. Forest EF_RF'!D34*(Intro!$B$23-Intro!$B$22)</f>
        <v>0</v>
      </c>
      <c r="E17" s="111">
        <f>'2a. Forest AD'!E16*'3a. Forest EF_RF'!E34*(Intro!$B$23-Intro!$B$22)</f>
        <v>0</v>
      </c>
      <c r="F17" s="111">
        <f>('2a. Forest AD'!F16-'2a. Forest AD'!G52/2)*'3a. Forest EF_RF'!F34*(Intro!$B$23-Intro!$B$22)+G118</f>
        <v>-38647.750293941157</v>
      </c>
      <c r="G17" s="111">
        <f>'2a. Forest AD'!G16*'3a. Forest EF_RF'!G34</f>
        <v>0</v>
      </c>
      <c r="H17" s="111">
        <f>'2a. Forest AD'!H16*'3a. Forest EF_RF'!H34</f>
        <v>0</v>
      </c>
      <c r="I17" s="111">
        <f>'2a. Forest AD'!I16*'3a. Forest EF_RF'!I34</f>
        <v>0</v>
      </c>
      <c r="J17" s="111">
        <f>'2a. Forest AD'!J16*'3a. Forest EF_RF'!J34</f>
        <v>0</v>
      </c>
      <c r="K17" s="111">
        <f>'2a. Forest AD'!K16*'3a. Forest EF_RF'!K34</f>
        <v>210.37488298784234</v>
      </c>
      <c r="L17" s="111">
        <f>'2a. Forest AD'!L16*'3a. Forest EF_RF'!L34</f>
        <v>1029.5190459989039</v>
      </c>
      <c r="M17" s="111">
        <f>'2a. Forest AD'!M16*'3a. Forest EF_RF'!M34</f>
        <v>0</v>
      </c>
      <c r="N17" s="111">
        <f>'2a. Forest AD'!N16*'3a. Forest EF_RF'!N34</f>
        <v>14.65032399820082</v>
      </c>
      <c r="O17" s="111">
        <f>'2a. Forest AD'!O16*'3a. Forest EF_RF'!O34</f>
        <v>88.036360215713671</v>
      </c>
      <c r="P17" s="111">
        <f>'2a. Forest AD'!P16*'3a. Forest EF_RF'!P34</f>
        <v>117.18546161739501</v>
      </c>
      <c r="Q17" s="111">
        <f>'2a. Forest AD'!Q16*'3a. Forest EF_RF'!Q34</f>
        <v>0</v>
      </c>
      <c r="R17" s="111">
        <f>'2a. Forest AD'!R16*'3a. Forest EF_RF'!R34</f>
        <v>0</v>
      </c>
      <c r="S17" s="131"/>
      <c r="T17" s="351"/>
    </row>
    <row r="18" spans="1:20" x14ac:dyDescent="0.35">
      <c r="A18" s="252" t="s">
        <v>6</v>
      </c>
      <c r="B18" s="253" t="s">
        <v>57</v>
      </c>
      <c r="C18" s="111">
        <f>'2a. Forest AD'!C17*'3a. Forest EF_RF'!C35*(Intro!$B$23-Intro!$B$22)</f>
        <v>-17.862736941635539</v>
      </c>
      <c r="D18" s="111">
        <f>'2a. Forest AD'!D17*'3a. Forest EF_RF'!D35*(Intro!$B$23-Intro!$B$22)</f>
        <v>-112.79230013951121</v>
      </c>
      <c r="E18" s="111">
        <f>'2a. Forest AD'!E17*'3a. Forest EF_RF'!E35*(Intro!$B$23-Intro!$B$22)</f>
        <v>-234.30749112346376</v>
      </c>
      <c r="F18" s="111">
        <f>'2a. Forest AD'!F17*'3a. Forest EF_RF'!F35*(Intro!$B$23-Intro!$B$22)</f>
        <v>-3.5060155444314005</v>
      </c>
      <c r="G18" s="314"/>
      <c r="H18" s="315"/>
      <c r="I18" s="316"/>
      <c r="J18" s="317"/>
      <c r="K18" s="318"/>
      <c r="L18" s="319"/>
      <c r="M18" s="320"/>
      <c r="N18" s="320"/>
      <c r="O18" s="320"/>
      <c r="P18" s="320"/>
      <c r="Q18" s="321"/>
      <c r="R18" s="322"/>
      <c r="S18" s="131"/>
    </row>
    <row r="19" spans="1:20" x14ac:dyDescent="0.35">
      <c r="A19" s="252"/>
      <c r="B19" s="253" t="s">
        <v>58</v>
      </c>
      <c r="C19" s="111">
        <f>'2a. Forest AD'!C18*'3a. Forest EF_RF'!C36*(Intro!$B$23-Intro!$B$22)</f>
        <v>-13.570732381299059</v>
      </c>
      <c r="D19" s="111">
        <f>'2a. Forest AD'!D18*'3a. Forest EF_RF'!D36*(Intro!$B$23-Intro!$B$22)</f>
        <v>-66.645126026874891</v>
      </c>
      <c r="E19" s="111">
        <f>'2a. Forest AD'!E18*'3a. Forest EF_RF'!E36*(Intro!$B$23-Intro!$B$22)</f>
        <v>-374.08152528902463</v>
      </c>
      <c r="F19" s="111">
        <f>'2a. Forest AD'!F18*'3a. Forest EF_RF'!F36*(Intro!$B$23-Intro!$B$22)</f>
        <v>0</v>
      </c>
      <c r="G19" s="323"/>
      <c r="H19" s="324"/>
      <c r="I19" s="325"/>
      <c r="J19" s="326"/>
      <c r="K19" s="325"/>
      <c r="L19" s="327"/>
      <c r="M19" s="328"/>
      <c r="N19" s="325"/>
      <c r="O19" s="329"/>
      <c r="P19" s="327"/>
      <c r="Q19" s="330"/>
      <c r="R19" s="330"/>
      <c r="S19" s="131"/>
    </row>
    <row r="20" spans="1:20" x14ac:dyDescent="0.35">
      <c r="A20" s="252"/>
      <c r="B20" s="253" t="s">
        <v>59</v>
      </c>
      <c r="C20" s="111">
        <f>'2a. Forest AD'!C19*'3a. Forest EF_RF'!C37*(Intro!$B$23-Intro!$B$22)</f>
        <v>-45.004075409523168</v>
      </c>
      <c r="D20" s="111">
        <f>'2a. Forest AD'!D19*'3a. Forest EF_RF'!D37*(Intro!$B$23-Intro!$B$22)</f>
        <v>-891.98659186972361</v>
      </c>
      <c r="E20" s="111">
        <f>'2a. Forest AD'!E19*'3a. Forest EF_RF'!E37*(Intro!$B$23-Intro!$B$22)</f>
        <v>-2368.7956210248713</v>
      </c>
      <c r="F20" s="111">
        <f>'2a. Forest AD'!F19*'3a. Forest EF_RF'!F37*(Intro!$B$23-Intro!$B$22)</f>
        <v>-1.4023929638628001</v>
      </c>
      <c r="G20" s="331"/>
      <c r="H20" s="328"/>
      <c r="I20" s="332"/>
      <c r="J20" s="333"/>
      <c r="K20" s="318"/>
      <c r="L20" s="334"/>
      <c r="M20" s="335"/>
      <c r="N20" s="318"/>
      <c r="O20" s="336"/>
      <c r="P20" s="337"/>
      <c r="Q20" s="338"/>
      <c r="R20" s="330"/>
      <c r="S20" s="131"/>
    </row>
    <row r="21" spans="1:20" x14ac:dyDescent="0.35">
      <c r="A21" s="254" t="s">
        <v>5</v>
      </c>
      <c r="B21" s="255" t="s">
        <v>117</v>
      </c>
      <c r="C21" s="111">
        <f>'2a. Forest AD'!C20*'3a. Forest EF_RF'!C38*(Intro!$B$23-Intro!$B$22)</f>
        <v>0</v>
      </c>
      <c r="D21" s="111">
        <f>'2a. Forest AD'!D20*'3a. Forest EF_RF'!D38*(Intro!$B$23-Intro!$B$22)</f>
        <v>0</v>
      </c>
      <c r="E21" s="111">
        <f>'2a. Forest AD'!E20*'3a. Forest EF_RF'!E38*(Intro!$B$23-Intro!$B$22)</f>
        <v>0</v>
      </c>
      <c r="F21" s="111">
        <f>'2a. Forest AD'!F20*'3a. Forest EF_RF'!F38*(Intro!$B$23-Intro!$B$22)</f>
        <v>0</v>
      </c>
      <c r="G21" s="323"/>
      <c r="H21" s="328"/>
      <c r="I21" s="339"/>
      <c r="J21" s="326"/>
      <c r="K21" s="325"/>
      <c r="L21" s="327"/>
      <c r="M21" s="328"/>
      <c r="N21" s="325"/>
      <c r="O21" s="329"/>
      <c r="P21" s="329"/>
      <c r="Q21" s="340"/>
      <c r="R21" s="330"/>
      <c r="S21" s="131"/>
    </row>
    <row r="22" spans="1:20" x14ac:dyDescent="0.35">
      <c r="A22" s="18" t="s">
        <v>50</v>
      </c>
      <c r="B22" s="33" t="s">
        <v>60</v>
      </c>
      <c r="C22" s="111">
        <f>'2a. Forest AD'!C21*'3a. Forest EF_RF'!C39*(Intro!$B$23-Intro!$B$22)</f>
        <v>0</v>
      </c>
      <c r="D22" s="111">
        <f>'2a. Forest AD'!D21*'3a. Forest EF_RF'!D39*(Intro!$B$23-Intro!$B$22)</f>
        <v>-15.652252286232285</v>
      </c>
      <c r="E22" s="111">
        <f>'2a. Forest AD'!E21*'3a. Forest EF_RF'!E39*(Intro!$B$23-Intro!$B$22)</f>
        <v>-109.1391523387737</v>
      </c>
      <c r="F22" s="111">
        <f>'2a. Forest AD'!F21*'3a. Forest EF_RF'!F39*(Intro!$B$23-Intro!$B$22)</f>
        <v>-308.53752584686788</v>
      </c>
      <c r="G22" s="341"/>
      <c r="H22" s="330"/>
      <c r="I22" s="330"/>
      <c r="J22" s="326"/>
      <c r="K22" s="339"/>
      <c r="L22" s="327"/>
      <c r="M22" s="330"/>
      <c r="N22" s="342"/>
      <c r="O22" s="330"/>
      <c r="P22" s="329"/>
      <c r="Q22" s="336"/>
      <c r="R22" s="330"/>
      <c r="S22" s="131"/>
    </row>
    <row r="23" spans="1:20" ht="21" x14ac:dyDescent="0.35">
      <c r="A23" s="18"/>
      <c r="B23" s="33" t="s">
        <v>61</v>
      </c>
      <c r="C23" s="111">
        <f>'2a. Forest AD'!C22*'3a. Forest EF_RF'!C40*(Intro!$B$23-Intro!$B$22)</f>
        <v>0</v>
      </c>
      <c r="D23" s="111">
        <f>'2a. Forest AD'!D22*'3a. Forest EF_RF'!D40*(Intro!$B$23-Intro!$B$22)</f>
        <v>0</v>
      </c>
      <c r="E23" s="111">
        <f>'2a. Forest AD'!E22*'3a. Forest EF_RF'!E40*(Intro!$B$23-Intro!$B$22)</f>
        <v>0</v>
      </c>
      <c r="F23" s="111">
        <f>'2a. Forest AD'!F22*'3a. Forest EF_RF'!F40*(Intro!$B$23-Intro!$B$22)</f>
        <v>-387.50874562655781</v>
      </c>
      <c r="G23" s="331"/>
      <c r="H23" s="343"/>
      <c r="I23" s="330"/>
      <c r="J23" s="326"/>
      <c r="K23" s="325"/>
      <c r="L23" s="344"/>
      <c r="M23" s="325"/>
      <c r="N23" s="327"/>
      <c r="O23" s="325"/>
      <c r="P23" s="345"/>
      <c r="Q23" s="329"/>
      <c r="R23" s="330"/>
      <c r="S23" s="131"/>
    </row>
    <row r="24" spans="1:20" x14ac:dyDescent="0.35">
      <c r="A24" s="19" t="s">
        <v>51</v>
      </c>
      <c r="B24" s="34" t="s">
        <v>62</v>
      </c>
      <c r="C24" s="111">
        <f>'2a. Forest AD'!C23*'3a. Forest EF_RF'!C41*(Intro!$B$23-Intro!$B$22)</f>
        <v>0</v>
      </c>
      <c r="D24" s="111">
        <f>'2a. Forest AD'!D23*'3a. Forest EF_RF'!D41*(Intro!$B$23-Intro!$B$22)</f>
        <v>0</v>
      </c>
      <c r="E24" s="111">
        <f>'2a. Forest AD'!E23*'3a. Forest EF_RF'!E41*(Intro!$B$23-Intro!$B$22)</f>
        <v>0</v>
      </c>
      <c r="F24" s="111">
        <f>'2a. Forest AD'!F23*'3a. Forest EF_RF'!F41*(Intro!$B$23-Intro!$B$22)</f>
        <v>0</v>
      </c>
      <c r="G24" s="341"/>
      <c r="H24" s="346"/>
      <c r="I24" s="346"/>
      <c r="J24" s="333"/>
      <c r="K24" s="346"/>
      <c r="L24" s="347"/>
      <c r="M24" s="318"/>
      <c r="N24" s="347"/>
      <c r="O24" s="346"/>
      <c r="P24" s="338"/>
      <c r="Q24" s="338"/>
      <c r="R24" s="346"/>
      <c r="S24" s="131"/>
    </row>
    <row r="25" spans="1:20" x14ac:dyDescent="0.35">
      <c r="A25" s="19"/>
      <c r="B25" s="34" t="s">
        <v>63</v>
      </c>
      <c r="C25" s="111">
        <f>'2a. Forest AD'!C24*'3a. Forest EF_RF'!C42*(Intro!$B$23-Intro!$B$22)</f>
        <v>0</v>
      </c>
      <c r="D25" s="111">
        <f>'2a. Forest AD'!D24*'3a. Forest EF_RF'!D42*(Intro!$B$23-Intro!$B$22)</f>
        <v>0</v>
      </c>
      <c r="E25" s="111">
        <f>'2a. Forest AD'!E24*'3a. Forest EF_RF'!E42*(Intro!$B$23-Intro!$B$22)</f>
        <v>0</v>
      </c>
      <c r="F25" s="111">
        <f>'2a. Forest AD'!F24*'3a. Forest EF_RF'!F42*(Intro!$B$23-Intro!$B$22)</f>
        <v>0</v>
      </c>
      <c r="G25" s="341"/>
      <c r="H25" s="330"/>
      <c r="I25" s="330"/>
      <c r="J25" s="326"/>
      <c r="K25" s="330"/>
      <c r="L25" s="342"/>
      <c r="M25" s="325"/>
      <c r="N25" s="344"/>
      <c r="O25" s="330"/>
      <c r="P25" s="340"/>
      <c r="Q25" s="340"/>
      <c r="R25" s="330"/>
      <c r="S25" s="131"/>
    </row>
    <row r="26" spans="1:20" x14ac:dyDescent="0.35">
      <c r="A26" s="19"/>
      <c r="B26" s="34" t="s">
        <v>64</v>
      </c>
      <c r="C26" s="111">
        <f>'2a. Forest AD'!C25*'3a. Forest EF_RF'!C43*(Intro!$B$23-Intro!$B$22)</f>
        <v>0</v>
      </c>
      <c r="D26" s="111">
        <f>'2a. Forest AD'!D25*'3a. Forest EF_RF'!D43*(Intro!$B$23-Intro!$B$22)</f>
        <v>0</v>
      </c>
      <c r="E26" s="111">
        <f>'2a. Forest AD'!E25*'3a. Forest EF_RF'!E43*(Intro!$B$23-Intro!$B$22)</f>
        <v>0</v>
      </c>
      <c r="F26" s="111">
        <f>'2a. Forest AD'!F25*'3a. Forest EF_RF'!F43*(Intro!$B$23-Intro!$B$22)</f>
        <v>0</v>
      </c>
      <c r="G26" s="348"/>
      <c r="H26" s="330"/>
      <c r="I26" s="346"/>
      <c r="J26" s="333"/>
      <c r="K26" s="346"/>
      <c r="L26" s="347"/>
      <c r="M26" s="318"/>
      <c r="N26" s="334"/>
      <c r="O26" s="332"/>
      <c r="P26" s="338"/>
      <c r="Q26" s="338"/>
      <c r="R26" s="330"/>
      <c r="S26" s="131"/>
    </row>
    <row r="27" spans="1:20" x14ac:dyDescent="0.35">
      <c r="A27" s="19"/>
      <c r="B27" s="34" t="s">
        <v>65</v>
      </c>
      <c r="C27" s="111">
        <f>'2a. Forest AD'!C26*'3a. Forest EF_RF'!C44*(Intro!$B$23-Intro!$B$22)</f>
        <v>0</v>
      </c>
      <c r="D27" s="111">
        <f>'2a. Forest AD'!D26*'3a. Forest EF_RF'!D44*(Intro!$B$23-Intro!$B$22)</f>
        <v>0</v>
      </c>
      <c r="E27" s="111">
        <f>'2a. Forest AD'!E26*'3a. Forest EF_RF'!E44*(Intro!$B$23-Intro!$B$22)</f>
        <v>0</v>
      </c>
      <c r="F27" s="111">
        <f>'2a. Forest AD'!F26*'3a. Forest EF_RF'!F44*(Intro!$B$23-Intro!$B$22)</f>
        <v>0</v>
      </c>
      <c r="G27" s="348"/>
      <c r="H27" s="330"/>
      <c r="I27" s="330"/>
      <c r="J27" s="326"/>
      <c r="K27" s="330"/>
      <c r="L27" s="342"/>
      <c r="M27" s="325"/>
      <c r="N27" s="327"/>
      <c r="O27" s="325"/>
      <c r="P27" s="349"/>
      <c r="Q27" s="340"/>
      <c r="R27" s="346"/>
      <c r="S27" s="131"/>
    </row>
    <row r="28" spans="1:20" x14ac:dyDescent="0.35">
      <c r="A28" s="20" t="s">
        <v>52</v>
      </c>
      <c r="B28" s="35" t="s">
        <v>66</v>
      </c>
      <c r="C28" s="111">
        <f>'2a. Forest AD'!C27*'3a. Forest EF_RF'!C45*(Intro!$B$23-Intro!$B$22)</f>
        <v>0</v>
      </c>
      <c r="D28" s="111">
        <f>'2a. Forest AD'!D27*'3a. Forest EF_RF'!D45*(Intro!$B$23-Intro!$B$22)</f>
        <v>0</v>
      </c>
      <c r="E28" s="111">
        <f>'2a. Forest AD'!E27*'3a. Forest EF_RF'!E45*(Intro!$B$23-Intro!$B$22)</f>
        <v>-1.9165708207761645</v>
      </c>
      <c r="F28" s="111">
        <f>'2a. Forest AD'!F27*'3a. Forest EF_RF'!F45*(Intro!$B$23-Intro!$B$22)</f>
        <v>0</v>
      </c>
      <c r="G28" s="348"/>
      <c r="H28" s="325"/>
      <c r="I28" s="325"/>
      <c r="J28" s="326"/>
      <c r="K28" s="325"/>
      <c r="L28" s="327"/>
      <c r="M28" s="330"/>
      <c r="N28" s="327"/>
      <c r="O28" s="325"/>
      <c r="P28" s="329"/>
      <c r="Q28" s="349"/>
      <c r="R28" s="330"/>
      <c r="S28" s="131"/>
    </row>
    <row r="29" spans="1:20" x14ac:dyDescent="0.35">
      <c r="A29" s="20"/>
      <c r="B29" s="35" t="s">
        <v>68</v>
      </c>
      <c r="C29" s="111">
        <f>'2a. Forest AD'!C28*'3a. Forest EF_RF'!C46*(Intro!$B$23-Intro!$B$22)</f>
        <v>0</v>
      </c>
      <c r="D29" s="111">
        <f>'2a. Forest AD'!D28*'3a. Forest EF_RF'!D46*(Intro!$B$23-Intro!$B$22)</f>
        <v>0</v>
      </c>
      <c r="E29" s="111">
        <f>'2a. Forest AD'!E28*'3a. Forest EF_RF'!E46*(Intro!$B$23-Intro!$B$22)</f>
        <v>0</v>
      </c>
      <c r="F29" s="111">
        <f>'2a. Forest AD'!F28*'3a. Forest EF_RF'!F46*(Intro!$B$23-Intro!$B$22)</f>
        <v>0</v>
      </c>
      <c r="G29" s="341"/>
      <c r="H29" s="330"/>
      <c r="I29" s="330"/>
      <c r="J29" s="326"/>
      <c r="K29" s="330"/>
      <c r="L29" s="342"/>
      <c r="M29" s="330"/>
      <c r="N29" s="342"/>
      <c r="O29" s="330"/>
      <c r="P29" s="340"/>
      <c r="Q29" s="340"/>
      <c r="R29" s="325"/>
      <c r="S29" s="132"/>
    </row>
    <row r="30" spans="1:20" x14ac:dyDescent="0.35">
      <c r="A30" s="121" t="s">
        <v>127</v>
      </c>
      <c r="B30" s="55"/>
      <c r="C30" s="122">
        <f>SUM(C14:C29)</f>
        <v>-982.72190724642587</v>
      </c>
      <c r="D30" s="122">
        <f t="shared" ref="D30:F30" si="0">SUM(D14:D29)</f>
        <v>-55651.1332591795</v>
      </c>
      <c r="E30" s="122">
        <f t="shared" si="0"/>
        <v>-288385.90691861714</v>
      </c>
      <c r="F30" s="122">
        <f t="shared" si="0"/>
        <v>-39348.704973922882</v>
      </c>
      <c r="G30" s="122">
        <f t="shared" ref="G30" si="1">SUM(G14:G29)</f>
        <v>454.55113538608191</v>
      </c>
      <c r="H30" s="122">
        <f t="shared" ref="H30" si="2">SUM(H14:H29)</f>
        <v>11160.83289407634</v>
      </c>
      <c r="I30" s="122">
        <f t="shared" ref="I30" si="3">SUM(I14:I29)</f>
        <v>3980.9724498976184</v>
      </c>
      <c r="J30" s="122">
        <f t="shared" ref="J30" si="4">SUM(J14:J29)</f>
        <v>285.57300794012866</v>
      </c>
      <c r="K30" s="122">
        <f t="shared" ref="K30" si="5">SUM(K14:K29)</f>
        <v>571.61811562815751</v>
      </c>
      <c r="L30" s="122">
        <f t="shared" ref="L30" si="6">SUM(L14:L29)</f>
        <v>1053.4170611391933</v>
      </c>
      <c r="M30" s="122">
        <f t="shared" ref="M30" si="7">SUM(M14:M29)</f>
        <v>778.95154700774367</v>
      </c>
      <c r="N30" s="122">
        <f t="shared" ref="N30" si="8">SUM(N14:N29)</f>
        <v>4259.7214236191176</v>
      </c>
      <c r="O30" s="122">
        <f t="shared" ref="O30" si="9">SUM(O14:O29)</f>
        <v>6339.5619200872452</v>
      </c>
      <c r="P30" s="122">
        <f t="shared" ref="P30" si="10">SUM(P14:P29)</f>
        <v>10925.796314033718</v>
      </c>
      <c r="Q30" s="122">
        <f t="shared" ref="Q30" si="11">SUM(Q14:Q29)</f>
        <v>0</v>
      </c>
      <c r="R30" s="122">
        <f t="shared" ref="R30" si="12">SUM(R14:R29)</f>
        <v>0</v>
      </c>
      <c r="S30" s="112">
        <f>SUM(C30:R30)</f>
        <v>-344557.47119015054</v>
      </c>
    </row>
    <row r="32" spans="1:20" x14ac:dyDescent="0.35">
      <c r="A32" s="2" t="s">
        <v>374</v>
      </c>
    </row>
    <row r="33" spans="1:20" ht="16.5" x14ac:dyDescent="0.45">
      <c r="A33" s="82" t="s">
        <v>278</v>
      </c>
      <c r="B33" s="11"/>
      <c r="C33" s="2" t="s">
        <v>178</v>
      </c>
    </row>
    <row r="34" spans="1:20" x14ac:dyDescent="0.35">
      <c r="B34" s="129">
        <f>Intro!B23</f>
        <v>2016</v>
      </c>
      <c r="C34" s="16" t="s">
        <v>4</v>
      </c>
      <c r="D34" s="16"/>
      <c r="E34" s="16"/>
      <c r="F34" s="16"/>
      <c r="G34" s="252" t="s">
        <v>6</v>
      </c>
      <c r="H34" s="252"/>
      <c r="I34" s="252"/>
      <c r="J34" s="257" t="s">
        <v>5</v>
      </c>
      <c r="K34" s="18" t="s">
        <v>50</v>
      </c>
      <c r="L34" s="18"/>
      <c r="M34" s="19" t="s">
        <v>51</v>
      </c>
      <c r="N34" s="19"/>
      <c r="O34" s="19"/>
      <c r="P34" s="19"/>
      <c r="Q34" s="20" t="s">
        <v>52</v>
      </c>
      <c r="R34" s="20"/>
    </row>
    <row r="35" spans="1:20" ht="31.5" x14ac:dyDescent="0.35">
      <c r="A35" s="22">
        <f>Intro!B22</f>
        <v>2011</v>
      </c>
      <c r="B35" s="21"/>
      <c r="C35" s="23" t="s">
        <v>53</v>
      </c>
      <c r="D35" s="23" t="s">
        <v>54</v>
      </c>
      <c r="E35" s="23" t="s">
        <v>55</v>
      </c>
      <c r="F35" s="23" t="s">
        <v>56</v>
      </c>
      <c r="G35" s="256" t="s">
        <v>57</v>
      </c>
      <c r="H35" s="256" t="s">
        <v>58</v>
      </c>
      <c r="I35" s="256" t="s">
        <v>59</v>
      </c>
      <c r="J35" s="258" t="s">
        <v>117</v>
      </c>
      <c r="K35" s="25" t="s">
        <v>60</v>
      </c>
      <c r="L35" s="25" t="s">
        <v>61</v>
      </c>
      <c r="M35" s="26" t="s">
        <v>62</v>
      </c>
      <c r="N35" s="26" t="s">
        <v>63</v>
      </c>
      <c r="O35" s="26" t="s">
        <v>64</v>
      </c>
      <c r="P35" s="26" t="s">
        <v>65</v>
      </c>
      <c r="Q35" s="27" t="s">
        <v>66</v>
      </c>
      <c r="R35" s="27" t="s">
        <v>67</v>
      </c>
      <c r="S35" s="350"/>
      <c r="T35" s="351"/>
    </row>
    <row r="36" spans="1:20" x14ac:dyDescent="0.35">
      <c r="A36" s="16" t="s">
        <v>4</v>
      </c>
      <c r="B36" s="28" t="s">
        <v>53</v>
      </c>
      <c r="C36" s="111">
        <f t="shared" ref="C36:R36" si="13">C14*3.67</f>
        <v>-3321.4539369741806</v>
      </c>
      <c r="D36" s="111">
        <f t="shared" si="13"/>
        <v>-31.930709914637049</v>
      </c>
      <c r="E36" s="111">
        <f t="shared" si="13"/>
        <v>-10.866936296303754</v>
      </c>
      <c r="F36" s="111">
        <f t="shared" si="13"/>
        <v>0</v>
      </c>
      <c r="G36" s="111">
        <f t="shared" si="13"/>
        <v>41.183148206902906</v>
      </c>
      <c r="H36" s="111">
        <f t="shared" si="13"/>
        <v>1381.1979493294175</v>
      </c>
      <c r="I36" s="111">
        <f t="shared" si="13"/>
        <v>2018.7137655710978</v>
      </c>
      <c r="J36" s="111">
        <f t="shared" si="13"/>
        <v>0</v>
      </c>
      <c r="K36" s="111">
        <f t="shared" si="13"/>
        <v>93.238064653250689</v>
      </c>
      <c r="L36" s="111">
        <f t="shared" si="13"/>
        <v>0</v>
      </c>
      <c r="M36" s="111">
        <f t="shared" si="13"/>
        <v>0</v>
      </c>
      <c r="N36" s="111">
        <f t="shared" si="13"/>
        <v>28.629317594724661</v>
      </c>
      <c r="O36" s="111">
        <f t="shared" si="13"/>
        <v>0</v>
      </c>
      <c r="P36" s="111">
        <f t="shared" si="13"/>
        <v>0</v>
      </c>
      <c r="Q36" s="111">
        <f t="shared" si="13"/>
        <v>0</v>
      </c>
      <c r="R36" s="111">
        <f t="shared" si="13"/>
        <v>0</v>
      </c>
      <c r="S36" s="131"/>
      <c r="T36" s="351"/>
    </row>
    <row r="37" spans="1:20" x14ac:dyDescent="0.35">
      <c r="A37" s="16"/>
      <c r="B37" s="28" t="s">
        <v>54</v>
      </c>
      <c r="C37" s="111">
        <f t="shared" ref="C37:R37" si="14">C15*3.67</f>
        <v>-2.2020086796943361</v>
      </c>
      <c r="D37" s="111">
        <f t="shared" si="14"/>
        <v>-199624.9732206951</v>
      </c>
      <c r="E37" s="111">
        <f t="shared" si="14"/>
        <v>-43.804066694260179</v>
      </c>
      <c r="F37" s="111">
        <f t="shared" si="14"/>
        <v>0</v>
      </c>
      <c r="G37" s="111">
        <f t="shared" si="14"/>
        <v>117.20659095871787</v>
      </c>
      <c r="H37" s="111">
        <f t="shared" si="14"/>
        <v>1094.4455539398868</v>
      </c>
      <c r="I37" s="111">
        <f t="shared" si="14"/>
        <v>742.65007631409287</v>
      </c>
      <c r="J37" s="111">
        <f t="shared" si="14"/>
        <v>193.08653461455086</v>
      </c>
      <c r="K37" s="111">
        <f t="shared" si="14"/>
        <v>90.056499195734631</v>
      </c>
      <c r="L37" s="111">
        <f t="shared" si="14"/>
        <v>0</v>
      </c>
      <c r="M37" s="111">
        <f t="shared" si="14"/>
        <v>26.231937589566488</v>
      </c>
      <c r="N37" s="111">
        <f t="shared" si="14"/>
        <v>131.25887725375182</v>
      </c>
      <c r="O37" s="111">
        <f t="shared" si="14"/>
        <v>1152.9956342472908</v>
      </c>
      <c r="P37" s="111">
        <f t="shared" si="14"/>
        <v>5035.5504464838459</v>
      </c>
      <c r="Q37" s="111">
        <f t="shared" si="14"/>
        <v>0</v>
      </c>
      <c r="R37" s="111">
        <f t="shared" si="14"/>
        <v>0</v>
      </c>
      <c r="S37" s="131"/>
      <c r="T37" s="351"/>
    </row>
    <row r="38" spans="1:20" x14ac:dyDescent="0.35">
      <c r="A38" s="16"/>
      <c r="B38" s="28" t="s">
        <v>55</v>
      </c>
      <c r="C38" s="111">
        <f t="shared" ref="C38:R38" si="15">C16*3.67</f>
        <v>-2.4076647723880589</v>
      </c>
      <c r="D38" s="111">
        <f t="shared" si="15"/>
        <v>-593.18521849606134</v>
      </c>
      <c r="E38" s="111">
        <f t="shared" si="15"/>
        <v>-1046987.7652649436</v>
      </c>
      <c r="F38" s="111">
        <f t="shared" si="15"/>
        <v>0</v>
      </c>
      <c r="G38" s="111">
        <f t="shared" si="15"/>
        <v>1509.8129277012999</v>
      </c>
      <c r="H38" s="111">
        <f t="shared" si="15"/>
        <v>38484.613217990867</v>
      </c>
      <c r="I38" s="111">
        <f t="shared" si="15"/>
        <v>11848.805049239068</v>
      </c>
      <c r="J38" s="111">
        <f t="shared" si="15"/>
        <v>854.96640452572126</v>
      </c>
      <c r="K38" s="111">
        <f t="shared" si="15"/>
        <v>1142.4680999409711</v>
      </c>
      <c r="L38" s="111">
        <f t="shared" si="15"/>
        <v>87.705715564862032</v>
      </c>
      <c r="M38" s="111">
        <f t="shared" si="15"/>
        <v>2832.5202399288528</v>
      </c>
      <c r="N38" s="111">
        <f t="shared" si="15"/>
        <v>15419.522740760287</v>
      </c>
      <c r="O38" s="111">
        <f t="shared" si="15"/>
        <v>21790.103170481227</v>
      </c>
      <c r="P38" s="111">
        <f t="shared" si="15"/>
        <v>34632.051381884055</v>
      </c>
      <c r="Q38" s="111">
        <f t="shared" si="15"/>
        <v>0</v>
      </c>
      <c r="R38" s="111">
        <f t="shared" si="15"/>
        <v>0</v>
      </c>
      <c r="S38" s="131"/>
      <c r="T38" s="351"/>
    </row>
    <row r="39" spans="1:20" x14ac:dyDescent="0.35">
      <c r="A39" s="16"/>
      <c r="B39" s="28" t="s">
        <v>56</v>
      </c>
      <c r="C39" s="111">
        <f t="shared" ref="C39:R39" si="16">C17*3.67</f>
        <v>0</v>
      </c>
      <c r="D39" s="111">
        <f t="shared" si="16"/>
        <v>0</v>
      </c>
      <c r="E39" s="111">
        <f t="shared" si="16"/>
        <v>0</v>
      </c>
      <c r="F39" s="111">
        <f t="shared" si="16"/>
        <v>-141837.24357876406</v>
      </c>
      <c r="G39" s="111">
        <f t="shared" si="16"/>
        <v>0</v>
      </c>
      <c r="H39" s="111">
        <f t="shared" si="16"/>
        <v>0</v>
      </c>
      <c r="I39" s="111">
        <f t="shared" si="16"/>
        <v>0</v>
      </c>
      <c r="J39" s="111">
        <f t="shared" si="16"/>
        <v>0</v>
      </c>
      <c r="K39" s="111">
        <f t="shared" si="16"/>
        <v>772.07582056538138</v>
      </c>
      <c r="L39" s="111">
        <f t="shared" si="16"/>
        <v>3778.3348988159773</v>
      </c>
      <c r="M39" s="111">
        <f t="shared" si="16"/>
        <v>0</v>
      </c>
      <c r="N39" s="111">
        <f t="shared" si="16"/>
        <v>53.766689073397011</v>
      </c>
      <c r="O39" s="111">
        <f t="shared" si="16"/>
        <v>323.09344199166918</v>
      </c>
      <c r="P39" s="111">
        <f t="shared" si="16"/>
        <v>430.07064413583964</v>
      </c>
      <c r="Q39" s="111">
        <f t="shared" si="16"/>
        <v>0</v>
      </c>
      <c r="R39" s="111">
        <f t="shared" si="16"/>
        <v>0</v>
      </c>
      <c r="S39" s="131"/>
      <c r="T39" s="351"/>
    </row>
    <row r="40" spans="1:20" x14ac:dyDescent="0.35">
      <c r="A40" s="252" t="s">
        <v>6</v>
      </c>
      <c r="B40" s="253" t="s">
        <v>57</v>
      </c>
      <c r="C40" s="111">
        <f t="shared" ref="C40:F52" si="17">C18*3.67</f>
        <v>-65.556244575802424</v>
      </c>
      <c r="D40" s="111">
        <f t="shared" si="17"/>
        <v>-413.94774151200613</v>
      </c>
      <c r="E40" s="111">
        <f t="shared" si="17"/>
        <v>-859.90849242311197</v>
      </c>
      <c r="F40" s="111">
        <f t="shared" si="17"/>
        <v>-12.867077048063239</v>
      </c>
      <c r="G40" s="314"/>
      <c r="H40" s="315"/>
      <c r="I40" s="316"/>
      <c r="J40" s="317"/>
      <c r="K40" s="318"/>
      <c r="L40" s="319"/>
      <c r="M40" s="320"/>
      <c r="N40" s="320"/>
      <c r="O40" s="320"/>
      <c r="P40" s="320"/>
      <c r="Q40" s="321"/>
      <c r="R40" s="322"/>
      <c r="S40" s="131"/>
    </row>
    <row r="41" spans="1:20" x14ac:dyDescent="0.35">
      <c r="A41" s="252"/>
      <c r="B41" s="253" t="s">
        <v>58</v>
      </c>
      <c r="C41" s="111">
        <f t="shared" si="17"/>
        <v>-49.804587839367549</v>
      </c>
      <c r="D41" s="111">
        <f t="shared" si="17"/>
        <v>-244.58761251863083</v>
      </c>
      <c r="E41" s="111">
        <f t="shared" si="17"/>
        <v>-1372.8791978107204</v>
      </c>
      <c r="F41" s="111">
        <f t="shared" si="17"/>
        <v>0</v>
      </c>
      <c r="G41" s="323"/>
      <c r="H41" s="324"/>
      <c r="I41" s="325"/>
      <c r="J41" s="326"/>
      <c r="K41" s="325"/>
      <c r="L41" s="327"/>
      <c r="M41" s="328"/>
      <c r="N41" s="325"/>
      <c r="O41" s="329"/>
      <c r="P41" s="327"/>
      <c r="Q41" s="330"/>
      <c r="R41" s="330"/>
      <c r="S41" s="131"/>
    </row>
    <row r="42" spans="1:20" x14ac:dyDescent="0.35">
      <c r="A42" s="252"/>
      <c r="B42" s="253" t="s">
        <v>59</v>
      </c>
      <c r="C42" s="111">
        <f t="shared" si="17"/>
        <v>-165.16495675295002</v>
      </c>
      <c r="D42" s="111">
        <f t="shared" si="17"/>
        <v>-3273.5907921618855</v>
      </c>
      <c r="E42" s="111">
        <f t="shared" si="17"/>
        <v>-8693.4799291612781</v>
      </c>
      <c r="F42" s="111">
        <f t="shared" si="17"/>
        <v>-5.1467821773764761</v>
      </c>
      <c r="G42" s="331"/>
      <c r="H42" s="328"/>
      <c r="I42" s="332"/>
      <c r="J42" s="333"/>
      <c r="K42" s="318"/>
      <c r="L42" s="334"/>
      <c r="M42" s="335"/>
      <c r="N42" s="318"/>
      <c r="O42" s="336"/>
      <c r="P42" s="337"/>
      <c r="Q42" s="338"/>
      <c r="R42" s="330"/>
      <c r="S42" s="131"/>
    </row>
    <row r="43" spans="1:20" x14ac:dyDescent="0.35">
      <c r="A43" s="254" t="s">
        <v>5</v>
      </c>
      <c r="B43" s="255" t="s">
        <v>117</v>
      </c>
      <c r="C43" s="111">
        <f t="shared" si="17"/>
        <v>0</v>
      </c>
      <c r="D43" s="111">
        <f t="shared" si="17"/>
        <v>0</v>
      </c>
      <c r="E43" s="111">
        <f t="shared" si="17"/>
        <v>0</v>
      </c>
      <c r="F43" s="111">
        <f t="shared" si="17"/>
        <v>0</v>
      </c>
      <c r="G43" s="323"/>
      <c r="H43" s="328"/>
      <c r="I43" s="339"/>
      <c r="J43" s="326"/>
      <c r="K43" s="325"/>
      <c r="L43" s="327"/>
      <c r="M43" s="328"/>
      <c r="N43" s="325"/>
      <c r="O43" s="329"/>
      <c r="P43" s="329"/>
      <c r="Q43" s="340"/>
      <c r="R43" s="330"/>
      <c r="S43" s="131"/>
    </row>
    <row r="44" spans="1:20" x14ac:dyDescent="0.35">
      <c r="A44" s="18" t="s">
        <v>50</v>
      </c>
      <c r="B44" s="33" t="s">
        <v>60</v>
      </c>
      <c r="C44" s="111">
        <f t="shared" si="17"/>
        <v>0</v>
      </c>
      <c r="D44" s="111">
        <f t="shared" si="17"/>
        <v>-57.443765890472484</v>
      </c>
      <c r="E44" s="111">
        <f t="shared" si="17"/>
        <v>-400.54068908329947</v>
      </c>
      <c r="F44" s="111">
        <f t="shared" si="17"/>
        <v>-1132.332719858005</v>
      </c>
      <c r="G44" s="341"/>
      <c r="H44" s="330"/>
      <c r="I44" s="330"/>
      <c r="J44" s="326"/>
      <c r="K44" s="339"/>
      <c r="L44" s="327"/>
      <c r="M44" s="330"/>
      <c r="N44" s="342"/>
      <c r="O44" s="330"/>
      <c r="P44" s="329"/>
      <c r="Q44" s="336"/>
      <c r="R44" s="330"/>
      <c r="S44" s="131"/>
    </row>
    <row r="45" spans="1:20" ht="21" x14ac:dyDescent="0.35">
      <c r="A45" s="18"/>
      <c r="B45" s="33" t="s">
        <v>61</v>
      </c>
      <c r="C45" s="111">
        <f t="shared" si="17"/>
        <v>0</v>
      </c>
      <c r="D45" s="111">
        <f t="shared" si="17"/>
        <v>0</v>
      </c>
      <c r="E45" s="111">
        <f t="shared" si="17"/>
        <v>0</v>
      </c>
      <c r="F45" s="111">
        <f t="shared" si="17"/>
        <v>-1422.1570964494672</v>
      </c>
      <c r="G45" s="331"/>
      <c r="H45" s="343"/>
      <c r="I45" s="330"/>
      <c r="J45" s="326"/>
      <c r="K45" s="325"/>
      <c r="L45" s="344"/>
      <c r="M45" s="325"/>
      <c r="N45" s="327"/>
      <c r="O45" s="325"/>
      <c r="P45" s="345"/>
      <c r="Q45" s="329"/>
      <c r="R45" s="330"/>
      <c r="S45" s="131"/>
    </row>
    <row r="46" spans="1:20" x14ac:dyDescent="0.35">
      <c r="A46" s="19" t="s">
        <v>51</v>
      </c>
      <c r="B46" s="34" t="s">
        <v>62</v>
      </c>
      <c r="C46" s="111">
        <f t="shared" si="17"/>
        <v>0</v>
      </c>
      <c r="D46" s="111">
        <f t="shared" si="17"/>
        <v>0</v>
      </c>
      <c r="E46" s="111">
        <f t="shared" si="17"/>
        <v>0</v>
      </c>
      <c r="F46" s="111">
        <f t="shared" si="17"/>
        <v>0</v>
      </c>
      <c r="G46" s="341"/>
      <c r="H46" s="346"/>
      <c r="I46" s="346"/>
      <c r="J46" s="333"/>
      <c r="K46" s="346"/>
      <c r="L46" s="347"/>
      <c r="M46" s="318"/>
      <c r="N46" s="347"/>
      <c r="O46" s="346"/>
      <c r="P46" s="338"/>
      <c r="Q46" s="338"/>
      <c r="R46" s="346"/>
      <c r="S46" s="131"/>
    </row>
    <row r="47" spans="1:20" x14ac:dyDescent="0.35">
      <c r="A47" s="19"/>
      <c r="B47" s="34" t="s">
        <v>63</v>
      </c>
      <c r="C47" s="111">
        <f t="shared" si="17"/>
        <v>0</v>
      </c>
      <c r="D47" s="111">
        <f t="shared" si="17"/>
        <v>0</v>
      </c>
      <c r="E47" s="111">
        <f t="shared" si="17"/>
        <v>0</v>
      </c>
      <c r="F47" s="111">
        <f t="shared" si="17"/>
        <v>0</v>
      </c>
      <c r="G47" s="341"/>
      <c r="H47" s="330"/>
      <c r="I47" s="330"/>
      <c r="J47" s="326"/>
      <c r="K47" s="330"/>
      <c r="L47" s="342"/>
      <c r="M47" s="325"/>
      <c r="N47" s="344"/>
      <c r="O47" s="330"/>
      <c r="P47" s="340"/>
      <c r="Q47" s="340"/>
      <c r="R47" s="330"/>
      <c r="S47" s="131"/>
    </row>
    <row r="48" spans="1:20" x14ac:dyDescent="0.35">
      <c r="A48" s="19"/>
      <c r="B48" s="34" t="s">
        <v>64</v>
      </c>
      <c r="C48" s="111">
        <f t="shared" si="17"/>
        <v>0</v>
      </c>
      <c r="D48" s="111">
        <f t="shared" si="17"/>
        <v>0</v>
      </c>
      <c r="E48" s="111">
        <f t="shared" si="17"/>
        <v>0</v>
      </c>
      <c r="F48" s="111">
        <f t="shared" si="17"/>
        <v>0</v>
      </c>
      <c r="G48" s="348"/>
      <c r="H48" s="330"/>
      <c r="I48" s="346"/>
      <c r="J48" s="333"/>
      <c r="K48" s="346"/>
      <c r="L48" s="347"/>
      <c r="M48" s="318"/>
      <c r="N48" s="334"/>
      <c r="O48" s="332"/>
      <c r="P48" s="338"/>
      <c r="Q48" s="338"/>
      <c r="R48" s="330"/>
      <c r="S48" s="131"/>
    </row>
    <row r="49" spans="1:20" x14ac:dyDescent="0.35">
      <c r="A49" s="19"/>
      <c r="B49" s="34" t="s">
        <v>65</v>
      </c>
      <c r="C49" s="111">
        <f t="shared" si="17"/>
        <v>0</v>
      </c>
      <c r="D49" s="111">
        <f t="shared" si="17"/>
        <v>0</v>
      </c>
      <c r="E49" s="111">
        <f t="shared" si="17"/>
        <v>0</v>
      </c>
      <c r="F49" s="111">
        <f t="shared" si="17"/>
        <v>0</v>
      </c>
      <c r="G49" s="348"/>
      <c r="H49" s="330"/>
      <c r="I49" s="330"/>
      <c r="J49" s="326"/>
      <c r="K49" s="330"/>
      <c r="L49" s="342"/>
      <c r="M49" s="325"/>
      <c r="N49" s="327"/>
      <c r="O49" s="325"/>
      <c r="P49" s="349"/>
      <c r="Q49" s="340"/>
      <c r="R49" s="346"/>
      <c r="S49" s="131"/>
    </row>
    <row r="50" spans="1:20" x14ac:dyDescent="0.35">
      <c r="A50" s="20" t="s">
        <v>52</v>
      </c>
      <c r="B50" s="35" t="s">
        <v>66</v>
      </c>
      <c r="C50" s="111">
        <f t="shared" si="17"/>
        <v>0</v>
      </c>
      <c r="D50" s="111">
        <f t="shared" si="17"/>
        <v>0</v>
      </c>
      <c r="E50" s="111">
        <f t="shared" si="17"/>
        <v>-7.0338149122485234</v>
      </c>
      <c r="F50" s="111">
        <f t="shared" si="17"/>
        <v>0</v>
      </c>
      <c r="G50" s="348"/>
      <c r="H50" s="325"/>
      <c r="I50" s="325"/>
      <c r="J50" s="326"/>
      <c r="K50" s="325"/>
      <c r="L50" s="327"/>
      <c r="M50" s="330"/>
      <c r="N50" s="327"/>
      <c r="O50" s="325"/>
      <c r="P50" s="329"/>
      <c r="Q50" s="349"/>
      <c r="R50" s="330"/>
      <c r="S50" s="131"/>
    </row>
    <row r="51" spans="1:20" x14ac:dyDescent="0.35">
      <c r="A51" s="20"/>
      <c r="B51" s="35" t="s">
        <v>68</v>
      </c>
      <c r="C51" s="111">
        <f t="shared" si="17"/>
        <v>0</v>
      </c>
      <c r="D51" s="111">
        <f t="shared" si="17"/>
        <v>0</v>
      </c>
      <c r="E51" s="111">
        <f t="shared" si="17"/>
        <v>0</v>
      </c>
      <c r="F51" s="111">
        <f t="shared" si="17"/>
        <v>0</v>
      </c>
      <c r="G51" s="341"/>
      <c r="H51" s="330"/>
      <c r="I51" s="330"/>
      <c r="J51" s="326"/>
      <c r="K51" s="330"/>
      <c r="L51" s="342"/>
      <c r="M51" s="330"/>
      <c r="N51" s="342"/>
      <c r="O51" s="330"/>
      <c r="P51" s="340"/>
      <c r="Q51" s="340"/>
      <c r="R51" s="325"/>
      <c r="S51" s="132"/>
    </row>
    <row r="52" spans="1:20" x14ac:dyDescent="0.35">
      <c r="A52" s="121" t="s">
        <v>127</v>
      </c>
      <c r="B52" s="55"/>
      <c r="C52" s="122">
        <f t="shared" si="17"/>
        <v>-3606.5893995943829</v>
      </c>
      <c r="D52" s="122">
        <f t="shared" si="17"/>
        <v>-204239.65906118875</v>
      </c>
      <c r="E52" s="122">
        <f t="shared" si="17"/>
        <v>-1058376.2783913249</v>
      </c>
      <c r="F52" s="122">
        <f t="shared" si="17"/>
        <v>-144409.74725429696</v>
      </c>
      <c r="G52" s="122">
        <f t="shared" ref="G52:S52" si="18">G30*3.67</f>
        <v>1668.2026668669205</v>
      </c>
      <c r="H52" s="122">
        <f t="shared" si="18"/>
        <v>40960.256721260172</v>
      </c>
      <c r="I52" s="122">
        <f t="shared" si="18"/>
        <v>14610.16889112426</v>
      </c>
      <c r="J52" s="122">
        <f t="shared" si="18"/>
        <v>1048.0529391402722</v>
      </c>
      <c r="K52" s="122">
        <f t="shared" si="18"/>
        <v>2097.8384843553381</v>
      </c>
      <c r="L52" s="122">
        <f t="shared" si="18"/>
        <v>3866.0406143808391</v>
      </c>
      <c r="M52" s="122">
        <f t="shared" si="18"/>
        <v>2858.7521775184191</v>
      </c>
      <c r="N52" s="122">
        <f t="shared" si="18"/>
        <v>15633.177624682161</v>
      </c>
      <c r="O52" s="122">
        <f t="shared" si="18"/>
        <v>23266.192246720191</v>
      </c>
      <c r="P52" s="122">
        <f t="shared" si="18"/>
        <v>40097.672472503742</v>
      </c>
      <c r="Q52" s="122">
        <f t="shared" si="18"/>
        <v>0</v>
      </c>
      <c r="R52" s="122">
        <f t="shared" si="18"/>
        <v>0</v>
      </c>
      <c r="S52" s="112">
        <f t="shared" si="18"/>
        <v>-1264525.9192678526</v>
      </c>
    </row>
    <row r="54" spans="1:20" x14ac:dyDescent="0.35">
      <c r="A54" s="2" t="s">
        <v>376</v>
      </c>
    </row>
    <row r="55" spans="1:20" ht="16.5" x14ac:dyDescent="0.45">
      <c r="A55" s="82" t="s">
        <v>278</v>
      </c>
      <c r="B55" s="11"/>
      <c r="C55" s="2" t="s">
        <v>179</v>
      </c>
      <c r="H55" s="131"/>
    </row>
    <row r="56" spans="1:20" x14ac:dyDescent="0.35">
      <c r="B56" s="129">
        <f>Intro!$B$23</f>
        <v>2016</v>
      </c>
      <c r="C56" s="16" t="s">
        <v>4</v>
      </c>
      <c r="D56" s="16"/>
      <c r="E56" s="16"/>
      <c r="F56" s="16"/>
      <c r="G56" s="252" t="s">
        <v>6</v>
      </c>
      <c r="H56" s="252"/>
      <c r="I56" s="252"/>
      <c r="J56" s="257" t="s">
        <v>5</v>
      </c>
      <c r="K56" s="18" t="s">
        <v>50</v>
      </c>
      <c r="L56" s="18"/>
      <c r="M56" s="19" t="s">
        <v>51</v>
      </c>
      <c r="N56" s="19"/>
      <c r="O56" s="19"/>
      <c r="P56" s="19"/>
      <c r="Q56" s="20" t="s">
        <v>52</v>
      </c>
      <c r="R56" s="20"/>
    </row>
    <row r="57" spans="1:20" ht="31.5" x14ac:dyDescent="0.35">
      <c r="A57" s="22">
        <f>Intro!$B$22</f>
        <v>2011</v>
      </c>
      <c r="B57" s="21"/>
      <c r="C57" s="23" t="s">
        <v>53</v>
      </c>
      <c r="D57" s="23" t="s">
        <v>54</v>
      </c>
      <c r="E57" s="23" t="s">
        <v>55</v>
      </c>
      <c r="F57" s="23" t="s">
        <v>56</v>
      </c>
      <c r="G57" s="256" t="s">
        <v>57</v>
      </c>
      <c r="H57" s="256" t="s">
        <v>58</v>
      </c>
      <c r="I57" s="256" t="s">
        <v>59</v>
      </c>
      <c r="J57" s="258" t="s">
        <v>117</v>
      </c>
      <c r="K57" s="25" t="s">
        <v>60</v>
      </c>
      <c r="L57" s="25" t="s">
        <v>61</v>
      </c>
      <c r="M57" s="26" t="s">
        <v>62</v>
      </c>
      <c r="N57" s="26" t="s">
        <v>63</v>
      </c>
      <c r="O57" s="26" t="s">
        <v>64</v>
      </c>
      <c r="P57" s="26" t="s">
        <v>65</v>
      </c>
      <c r="Q57" s="27" t="s">
        <v>66</v>
      </c>
      <c r="R57" s="27" t="s">
        <v>67</v>
      </c>
      <c r="S57" s="350"/>
      <c r="T57" s="351"/>
    </row>
    <row r="58" spans="1:20" x14ac:dyDescent="0.35">
      <c r="A58" s="16" t="s">
        <v>4</v>
      </c>
      <c r="B58" s="28" t="s">
        <v>53</v>
      </c>
      <c r="C58" s="111">
        <f>C36/(Intro!$B$23-Intro!$B$22)</f>
        <v>-664.29078739483612</v>
      </c>
      <c r="D58" s="111">
        <f>D36/(Intro!$B$23-Intro!$B$22)</f>
        <v>-6.38614198292741</v>
      </c>
      <c r="E58" s="111">
        <f>E36/(Intro!$B$23-Intro!$B$22)</f>
        <v>-2.1733872592607506</v>
      </c>
      <c r="F58" s="111">
        <f>F36/(Intro!$B$23-Intro!$B$22)</f>
        <v>0</v>
      </c>
      <c r="G58" s="111">
        <f>G36/(Intro!$B$23-Intro!$B$22)</f>
        <v>8.2366296413805813</v>
      </c>
      <c r="H58" s="111">
        <f>H36/(Intro!$B$23-Intro!$B$22)</f>
        <v>276.23958986588349</v>
      </c>
      <c r="I58" s="111">
        <f>I36/(Intro!$B$23-Intro!$B$22)</f>
        <v>403.74275311421957</v>
      </c>
      <c r="J58" s="111">
        <f>J36/(Intro!$B$23-Intro!$B$22)</f>
        <v>0</v>
      </c>
      <c r="K58" s="111">
        <f>K36/(Intro!$B$23-Intro!$B$22)</f>
        <v>18.647612930650137</v>
      </c>
      <c r="L58" s="111">
        <f>L36/(Intro!$B$23-Intro!$B$22)</f>
        <v>0</v>
      </c>
      <c r="M58" s="111">
        <f>M36/(Intro!$B$23-Intro!$B$22)</f>
        <v>0</v>
      </c>
      <c r="N58" s="111">
        <f>N36/(Intro!$B$23-Intro!$B$22)</f>
        <v>5.7258635189449318</v>
      </c>
      <c r="O58" s="111">
        <f>O36/(Intro!$B$23-Intro!$B$22)</f>
        <v>0</v>
      </c>
      <c r="P58" s="111">
        <f>P36/(Intro!$B$23-Intro!$B$22)</f>
        <v>0</v>
      </c>
      <c r="Q58" s="111">
        <f>Q36/(Intro!$B$23-Intro!$B$22)</f>
        <v>0</v>
      </c>
      <c r="R58" s="111">
        <f>R36/(Intro!$B$23-Intro!$B$22)</f>
        <v>0</v>
      </c>
      <c r="T58" s="351"/>
    </row>
    <row r="59" spans="1:20" x14ac:dyDescent="0.35">
      <c r="A59" s="16"/>
      <c r="B59" s="28" t="s">
        <v>54</v>
      </c>
      <c r="C59" s="111">
        <f>C37/(Intro!$B$23-Intro!$B$22)</f>
        <v>-0.44040173593886722</v>
      </c>
      <c r="D59" s="111">
        <f>D37/(Intro!$B$23-Intro!$B$22)</f>
        <v>-39924.99464413902</v>
      </c>
      <c r="E59" s="111">
        <f>E37/(Intro!$B$23-Intro!$B$22)</f>
        <v>-8.7608133388520351</v>
      </c>
      <c r="F59" s="111">
        <f>F37/(Intro!$B$23-Intro!$B$22)</f>
        <v>0</v>
      </c>
      <c r="G59" s="111">
        <f>G37/(Intro!$B$23-Intro!$B$22)</f>
        <v>23.441318191743573</v>
      </c>
      <c r="H59" s="111">
        <f>H37/(Intro!$B$23-Intro!$B$22)</f>
        <v>218.88911078797736</v>
      </c>
      <c r="I59" s="111">
        <f>I37/(Intro!$B$23-Intro!$B$22)</f>
        <v>148.53001526281858</v>
      </c>
      <c r="J59" s="111">
        <f>J37/(Intro!$B$23-Intro!$B$22)</f>
        <v>38.617306922910174</v>
      </c>
      <c r="K59" s="111">
        <f>K37/(Intro!$B$23-Intro!$B$22)</f>
        <v>18.011299839146925</v>
      </c>
      <c r="L59" s="111">
        <f>L37/(Intro!$B$23-Intro!$B$22)</f>
        <v>0</v>
      </c>
      <c r="M59" s="111">
        <f>M37/(Intro!$B$23-Intro!$B$22)</f>
        <v>5.2463875179132975</v>
      </c>
      <c r="N59" s="111">
        <f>N37/(Intro!$B$23-Intro!$B$22)</f>
        <v>26.251775450750365</v>
      </c>
      <c r="O59" s="111">
        <f>O37/(Intro!$B$23-Intro!$B$22)</f>
        <v>230.59912684945817</v>
      </c>
      <c r="P59" s="111">
        <f>P37/(Intro!$B$23-Intro!$B$22)</f>
        <v>1007.1100892967692</v>
      </c>
      <c r="Q59" s="111">
        <f>Q37/(Intro!$B$23-Intro!$B$22)</f>
        <v>0</v>
      </c>
      <c r="R59" s="111">
        <f>R37/(Intro!$B$23-Intro!$B$22)</f>
        <v>0</v>
      </c>
      <c r="S59" s="131"/>
      <c r="T59" s="351"/>
    </row>
    <row r="60" spans="1:20" x14ac:dyDescent="0.35">
      <c r="A60" s="16"/>
      <c r="B60" s="28" t="s">
        <v>55</v>
      </c>
      <c r="C60" s="111">
        <f>C38/(Intro!$B$23-Intro!$B$22)</f>
        <v>-0.4815329544776118</v>
      </c>
      <c r="D60" s="111">
        <f>D38/(Intro!$B$23-Intro!$B$22)</f>
        <v>-118.63704369921227</v>
      </c>
      <c r="E60" s="111">
        <f>E38/(Intro!$B$23-Intro!$B$22)</f>
        <v>-209397.55305298872</v>
      </c>
      <c r="F60" s="111">
        <f>F38/(Intro!$B$23-Intro!$B$22)</f>
        <v>0</v>
      </c>
      <c r="G60" s="111">
        <f>G38/(Intro!$B$23-Intro!$B$22)</f>
        <v>301.96258554025997</v>
      </c>
      <c r="H60" s="111">
        <f>H38/(Intro!$B$23-Intro!$B$22)</f>
        <v>7696.9226435981736</v>
      </c>
      <c r="I60" s="111">
        <f>I38/(Intro!$B$23-Intro!$B$22)</f>
        <v>2369.7610098478135</v>
      </c>
      <c r="J60" s="111">
        <f>J38/(Intro!$B$23-Intro!$B$22)</f>
        <v>170.99328090514425</v>
      </c>
      <c r="K60" s="111">
        <f>K38/(Intro!$B$23-Intro!$B$22)</f>
        <v>228.49361998819421</v>
      </c>
      <c r="L60" s="111">
        <f>L38/(Intro!$B$23-Intro!$B$22)</f>
        <v>17.541143112972406</v>
      </c>
      <c r="M60" s="111">
        <f>M38/(Intro!$B$23-Intro!$B$22)</f>
        <v>566.50404798577051</v>
      </c>
      <c r="N60" s="111">
        <f>N38/(Intro!$B$23-Intro!$B$22)</f>
        <v>3083.9045481520575</v>
      </c>
      <c r="O60" s="111">
        <f>O38/(Intro!$B$23-Intro!$B$22)</f>
        <v>4358.020634096245</v>
      </c>
      <c r="P60" s="111">
        <f>P38/(Intro!$B$23-Intro!$B$22)</f>
        <v>6926.4102763768115</v>
      </c>
      <c r="Q60" s="111">
        <f>Q38/(Intro!$B$23-Intro!$B$22)</f>
        <v>0</v>
      </c>
      <c r="R60" s="111">
        <f>R38/(Intro!$B$23-Intro!$B$22)</f>
        <v>0</v>
      </c>
      <c r="S60" s="131"/>
      <c r="T60" s="351"/>
    </row>
    <row r="61" spans="1:20" x14ac:dyDescent="0.35">
      <c r="A61" s="16"/>
      <c r="B61" s="28" t="s">
        <v>56</v>
      </c>
      <c r="C61" s="111">
        <f>C39/(Intro!$B$23-Intro!$B$22)</f>
        <v>0</v>
      </c>
      <c r="D61" s="111">
        <f>D39/(Intro!$B$23-Intro!$B$22)</f>
        <v>0</v>
      </c>
      <c r="E61" s="111">
        <f>E39/(Intro!$B$23-Intro!$B$22)</f>
        <v>0</v>
      </c>
      <c r="F61" s="111">
        <f>F39/(Intro!$B$23-Intro!$B$22)</f>
        <v>-28367.448715752813</v>
      </c>
      <c r="G61" s="111">
        <f>G39/(Intro!$B$23-Intro!$B$22)</f>
        <v>0</v>
      </c>
      <c r="H61" s="111">
        <f>H39/(Intro!$B$23-Intro!$B$22)</f>
        <v>0</v>
      </c>
      <c r="I61" s="111">
        <f>I39/(Intro!$B$23-Intro!$B$22)</f>
        <v>0</v>
      </c>
      <c r="J61" s="111">
        <f>J39/(Intro!$B$23-Intro!$B$22)</f>
        <v>0</v>
      </c>
      <c r="K61" s="111">
        <f>K39/(Intro!$B$23-Intro!$B$22)</f>
        <v>154.41516411307629</v>
      </c>
      <c r="L61" s="111">
        <f>L39/(Intro!$B$23-Intro!$B$22)</f>
        <v>755.66697976319551</v>
      </c>
      <c r="M61" s="111">
        <f>M39/(Intro!$B$23-Intro!$B$22)</f>
        <v>0</v>
      </c>
      <c r="N61" s="111">
        <f>N39/(Intro!$B$23-Intro!$B$22)</f>
        <v>10.753337814679401</v>
      </c>
      <c r="O61" s="111">
        <f>O39/(Intro!$B$23-Intro!$B$22)</f>
        <v>64.61868839833383</v>
      </c>
      <c r="P61" s="111">
        <f>P39/(Intro!$B$23-Intro!$B$22)</f>
        <v>86.014128827167923</v>
      </c>
      <c r="Q61" s="111">
        <f>Q39/(Intro!$B$23-Intro!$B$22)</f>
        <v>0</v>
      </c>
      <c r="R61" s="111">
        <f>R39/(Intro!$B$23-Intro!$B$22)</f>
        <v>0</v>
      </c>
      <c r="S61" s="131"/>
      <c r="T61" s="351"/>
    </row>
    <row r="62" spans="1:20" x14ac:dyDescent="0.35">
      <c r="A62" s="252" t="s">
        <v>6</v>
      </c>
      <c r="B62" s="253" t="s">
        <v>57</v>
      </c>
      <c r="C62" s="111">
        <f>C40/(Intro!$B$23-Intro!$B$22)</f>
        <v>-13.111248915160484</v>
      </c>
      <c r="D62" s="111">
        <f>D40/(Intro!$B$23-Intro!$B$22)</f>
        <v>-82.789548302401229</v>
      </c>
      <c r="E62" s="111">
        <f>E40/(Intro!$B$23-Intro!$B$22)</f>
        <v>-171.9816984846224</v>
      </c>
      <c r="F62" s="111">
        <f>F40/(Intro!$B$23-Intro!$B$22)</f>
        <v>-2.5734154096126476</v>
      </c>
      <c r="G62" s="314"/>
      <c r="H62" s="315"/>
      <c r="I62" s="316"/>
      <c r="J62" s="317"/>
      <c r="K62" s="318"/>
      <c r="L62" s="319"/>
      <c r="M62" s="320"/>
      <c r="N62" s="320"/>
      <c r="O62" s="320"/>
      <c r="P62" s="320"/>
      <c r="Q62" s="321"/>
      <c r="R62" s="322"/>
      <c r="S62" s="131"/>
    </row>
    <row r="63" spans="1:20" x14ac:dyDescent="0.35">
      <c r="A63" s="252"/>
      <c r="B63" s="253" t="s">
        <v>58</v>
      </c>
      <c r="C63" s="111">
        <f>C41/(Intro!$B$23-Intro!$B$22)</f>
        <v>-9.9609175678735102</v>
      </c>
      <c r="D63" s="111">
        <f>D41/(Intro!$B$23-Intro!$B$22)</f>
        <v>-48.917522503726168</v>
      </c>
      <c r="E63" s="111">
        <f>E41/(Intro!$B$23-Intro!$B$22)</f>
        <v>-274.5758395621441</v>
      </c>
      <c r="F63" s="111">
        <f>F41/(Intro!$B$23-Intro!$B$22)</f>
        <v>0</v>
      </c>
      <c r="G63" s="323"/>
      <c r="H63" s="324"/>
      <c r="I63" s="325"/>
      <c r="J63" s="326"/>
      <c r="K63" s="325"/>
      <c r="L63" s="327"/>
      <c r="M63" s="328"/>
      <c r="N63" s="325"/>
      <c r="O63" s="329"/>
      <c r="P63" s="327"/>
      <c r="Q63" s="330"/>
      <c r="R63" s="330"/>
      <c r="S63" s="131"/>
    </row>
    <row r="64" spans="1:20" x14ac:dyDescent="0.35">
      <c r="A64" s="252"/>
      <c r="B64" s="253" t="s">
        <v>59</v>
      </c>
      <c r="C64" s="111">
        <f>C42/(Intro!$B$23-Intro!$B$22)</f>
        <v>-33.032991350590002</v>
      </c>
      <c r="D64" s="111">
        <f>D42/(Intro!$B$23-Intro!$B$22)</f>
        <v>-654.71815843237709</v>
      </c>
      <c r="E64" s="111">
        <f>E42/(Intro!$B$23-Intro!$B$22)</f>
        <v>-1738.6959858322557</v>
      </c>
      <c r="F64" s="111">
        <f>F42/(Intro!$B$23-Intro!$B$22)</f>
        <v>-1.0293564354752953</v>
      </c>
      <c r="G64" s="331"/>
      <c r="H64" s="328"/>
      <c r="I64" s="332"/>
      <c r="J64" s="333"/>
      <c r="K64" s="318"/>
      <c r="L64" s="334"/>
      <c r="M64" s="335"/>
      <c r="N64" s="318"/>
      <c r="O64" s="336"/>
      <c r="P64" s="337"/>
      <c r="Q64" s="338"/>
      <c r="R64" s="330"/>
      <c r="S64" s="131"/>
    </row>
    <row r="65" spans="1:19" x14ac:dyDescent="0.35">
      <c r="A65" s="254" t="s">
        <v>5</v>
      </c>
      <c r="B65" s="255" t="s">
        <v>117</v>
      </c>
      <c r="C65" s="111">
        <f>C43/(Intro!$B$23-Intro!$B$22)</f>
        <v>0</v>
      </c>
      <c r="D65" s="111">
        <f>D43/(Intro!$B$23-Intro!$B$22)</f>
        <v>0</v>
      </c>
      <c r="E65" s="111">
        <f>E43/(Intro!$B$23-Intro!$B$22)</f>
        <v>0</v>
      </c>
      <c r="F65" s="111">
        <f>F43/(Intro!$B$23-Intro!$B$22)</f>
        <v>0</v>
      </c>
      <c r="G65" s="323"/>
      <c r="H65" s="328"/>
      <c r="I65" s="339"/>
      <c r="J65" s="326"/>
      <c r="K65" s="325"/>
      <c r="L65" s="327"/>
      <c r="M65" s="328"/>
      <c r="N65" s="325"/>
      <c r="O65" s="329"/>
      <c r="P65" s="329"/>
      <c r="Q65" s="340"/>
      <c r="R65" s="330"/>
      <c r="S65" s="131"/>
    </row>
    <row r="66" spans="1:19" x14ac:dyDescent="0.35">
      <c r="A66" s="18" t="s">
        <v>50</v>
      </c>
      <c r="B66" s="33" t="s">
        <v>60</v>
      </c>
      <c r="C66" s="111">
        <f>C44/(Intro!$B$23-Intro!$B$22)</f>
        <v>0</v>
      </c>
      <c r="D66" s="111">
        <f>D44/(Intro!$B$23-Intro!$B$22)</f>
        <v>-11.488753178094496</v>
      </c>
      <c r="E66" s="111">
        <f>E44/(Intro!$B$23-Intro!$B$22)</f>
        <v>-80.108137816659891</v>
      </c>
      <c r="F66" s="111">
        <f>F44/(Intro!$B$23-Intro!$B$22)</f>
        <v>-226.466543971601</v>
      </c>
      <c r="G66" s="341"/>
      <c r="H66" s="330"/>
      <c r="I66" s="330"/>
      <c r="J66" s="326"/>
      <c r="K66" s="339"/>
      <c r="L66" s="327"/>
      <c r="M66" s="330"/>
      <c r="N66" s="342"/>
      <c r="O66" s="330"/>
      <c r="P66" s="329"/>
      <c r="Q66" s="336"/>
      <c r="R66" s="330"/>
      <c r="S66" s="131"/>
    </row>
    <row r="67" spans="1:19" ht="21" x14ac:dyDescent="0.35">
      <c r="A67" s="18"/>
      <c r="B67" s="33" t="s">
        <v>61</v>
      </c>
      <c r="C67" s="111">
        <f>C45/(Intro!$B$23-Intro!$B$22)</f>
        <v>0</v>
      </c>
      <c r="D67" s="111">
        <f>D45/(Intro!$B$23-Intro!$B$22)</f>
        <v>0</v>
      </c>
      <c r="E67" s="111">
        <f>E45/(Intro!$B$23-Intro!$B$22)</f>
        <v>0</v>
      </c>
      <c r="F67" s="111">
        <f>F45/(Intro!$B$23-Intro!$B$22)</f>
        <v>-284.43141928989343</v>
      </c>
      <c r="G67" s="331"/>
      <c r="H67" s="343"/>
      <c r="I67" s="330"/>
      <c r="J67" s="326"/>
      <c r="K67" s="325"/>
      <c r="L67" s="344"/>
      <c r="M67" s="325"/>
      <c r="N67" s="327"/>
      <c r="O67" s="325"/>
      <c r="P67" s="345"/>
      <c r="Q67" s="329"/>
      <c r="R67" s="330"/>
      <c r="S67" s="131"/>
    </row>
    <row r="68" spans="1:19" x14ac:dyDescent="0.35">
      <c r="A68" s="19" t="s">
        <v>51</v>
      </c>
      <c r="B68" s="34" t="s">
        <v>62</v>
      </c>
      <c r="C68" s="111">
        <f>C46/(Intro!$B$23-Intro!$B$22)</f>
        <v>0</v>
      </c>
      <c r="D68" s="111">
        <f>D46/(Intro!$B$23-Intro!$B$22)</f>
        <v>0</v>
      </c>
      <c r="E68" s="111">
        <f>E46/(Intro!$B$23-Intro!$B$22)</f>
        <v>0</v>
      </c>
      <c r="F68" s="111">
        <f>F46/(Intro!$B$23-Intro!$B$22)</f>
        <v>0</v>
      </c>
      <c r="G68" s="341"/>
      <c r="H68" s="346"/>
      <c r="I68" s="346"/>
      <c r="J68" s="333"/>
      <c r="K68" s="346"/>
      <c r="L68" s="347"/>
      <c r="M68" s="318"/>
      <c r="N68" s="347"/>
      <c r="O68" s="346"/>
      <c r="P68" s="338"/>
      <c r="Q68" s="338"/>
      <c r="R68" s="346"/>
      <c r="S68" s="131"/>
    </row>
    <row r="69" spans="1:19" x14ac:dyDescent="0.35">
      <c r="A69" s="19"/>
      <c r="B69" s="34" t="s">
        <v>63</v>
      </c>
      <c r="C69" s="111">
        <f>C47/(Intro!$B$23-Intro!$B$22)</f>
        <v>0</v>
      </c>
      <c r="D69" s="111">
        <f>D47/(Intro!$B$23-Intro!$B$22)</f>
        <v>0</v>
      </c>
      <c r="E69" s="111">
        <f>E47/(Intro!$B$23-Intro!$B$22)</f>
        <v>0</v>
      </c>
      <c r="F69" s="111">
        <f>F47/(Intro!$B$23-Intro!$B$22)</f>
        <v>0</v>
      </c>
      <c r="G69" s="341"/>
      <c r="H69" s="330"/>
      <c r="I69" s="330"/>
      <c r="J69" s="326"/>
      <c r="K69" s="330"/>
      <c r="L69" s="342"/>
      <c r="M69" s="325"/>
      <c r="N69" s="344"/>
      <c r="O69" s="330"/>
      <c r="P69" s="340"/>
      <c r="Q69" s="340"/>
      <c r="R69" s="330"/>
      <c r="S69" s="131"/>
    </row>
    <row r="70" spans="1:19" x14ac:dyDescent="0.35">
      <c r="A70" s="19"/>
      <c r="B70" s="34" t="s">
        <v>64</v>
      </c>
      <c r="C70" s="111">
        <f>C48/(Intro!$B$23-Intro!$B$22)</f>
        <v>0</v>
      </c>
      <c r="D70" s="111">
        <f>D48/(Intro!$B$23-Intro!$B$22)</f>
        <v>0</v>
      </c>
      <c r="E70" s="111">
        <f>E48/(Intro!$B$23-Intro!$B$22)</f>
        <v>0</v>
      </c>
      <c r="F70" s="111">
        <f>F48/(Intro!$B$23-Intro!$B$22)</f>
        <v>0</v>
      </c>
      <c r="G70" s="348"/>
      <c r="H70" s="330"/>
      <c r="I70" s="346"/>
      <c r="J70" s="333"/>
      <c r="K70" s="346"/>
      <c r="L70" s="347"/>
      <c r="M70" s="318"/>
      <c r="N70" s="334"/>
      <c r="O70" s="332"/>
      <c r="P70" s="338"/>
      <c r="Q70" s="338"/>
      <c r="R70" s="330"/>
      <c r="S70" s="131"/>
    </row>
    <row r="71" spans="1:19" x14ac:dyDescent="0.35">
      <c r="A71" s="19"/>
      <c r="B71" s="34" t="s">
        <v>65</v>
      </c>
      <c r="C71" s="111">
        <f>C49/(Intro!$B$23-Intro!$B$22)</f>
        <v>0</v>
      </c>
      <c r="D71" s="111">
        <f>D49/(Intro!$B$23-Intro!$B$22)</f>
        <v>0</v>
      </c>
      <c r="E71" s="111">
        <f>E49/(Intro!$B$23-Intro!$B$22)</f>
        <v>0</v>
      </c>
      <c r="F71" s="111">
        <f>F49/(Intro!$B$23-Intro!$B$22)</f>
        <v>0</v>
      </c>
      <c r="G71" s="348"/>
      <c r="H71" s="330"/>
      <c r="I71" s="330"/>
      <c r="J71" s="326"/>
      <c r="K71" s="330"/>
      <c r="L71" s="342"/>
      <c r="M71" s="325"/>
      <c r="N71" s="327"/>
      <c r="O71" s="325"/>
      <c r="P71" s="349"/>
      <c r="Q71" s="340"/>
      <c r="R71" s="346"/>
      <c r="S71" s="131"/>
    </row>
    <row r="72" spans="1:19" x14ac:dyDescent="0.35">
      <c r="A72" s="20" t="s">
        <v>52</v>
      </c>
      <c r="B72" s="35" t="s">
        <v>66</v>
      </c>
      <c r="C72" s="111">
        <f>C50/(Intro!$B$23-Intro!$B$22)</f>
        <v>0</v>
      </c>
      <c r="D72" s="111">
        <f>D50/(Intro!$B$23-Intro!$B$22)</f>
        <v>0</v>
      </c>
      <c r="E72" s="111">
        <f>E50/(Intro!$B$23-Intro!$B$22)</f>
        <v>-1.4067629824497048</v>
      </c>
      <c r="F72" s="111">
        <f>F50/(Intro!$B$23-Intro!$B$22)</f>
        <v>0</v>
      </c>
      <c r="G72" s="348"/>
      <c r="H72" s="325"/>
      <c r="I72" s="325"/>
      <c r="J72" s="326"/>
      <c r="K72" s="325"/>
      <c r="L72" s="327"/>
      <c r="M72" s="330"/>
      <c r="N72" s="327"/>
      <c r="O72" s="325"/>
      <c r="P72" s="329"/>
      <c r="Q72" s="349"/>
      <c r="R72" s="330"/>
      <c r="S72" s="131"/>
    </row>
    <row r="73" spans="1:19" x14ac:dyDescent="0.35">
      <c r="A73" s="20"/>
      <c r="B73" s="35" t="s">
        <v>68</v>
      </c>
      <c r="C73" s="111">
        <f>C51/(Intro!$B$23-Intro!$B$22)</f>
        <v>0</v>
      </c>
      <c r="D73" s="111">
        <f>D51/(Intro!$B$23-Intro!$B$22)</f>
        <v>0</v>
      </c>
      <c r="E73" s="111">
        <f>E51/(Intro!$B$23-Intro!$B$22)</f>
        <v>0</v>
      </c>
      <c r="F73" s="111">
        <f>F51/(Intro!$B$23-Intro!$B$22)</f>
        <v>0</v>
      </c>
      <c r="G73" s="341"/>
      <c r="H73" s="330"/>
      <c r="I73" s="330"/>
      <c r="J73" s="326"/>
      <c r="K73" s="330"/>
      <c r="L73" s="342"/>
      <c r="M73" s="330"/>
      <c r="N73" s="342"/>
      <c r="O73" s="330"/>
      <c r="P73" s="340"/>
      <c r="Q73" s="340"/>
      <c r="R73" s="325"/>
      <c r="S73" s="132"/>
    </row>
    <row r="74" spans="1:19" x14ac:dyDescent="0.35">
      <c r="A74" s="121" t="s">
        <v>127</v>
      </c>
      <c r="B74" s="55"/>
      <c r="C74" s="122">
        <f>C52/(Intro!$B$23-Intro!$B$22)</f>
        <v>-721.31787991887654</v>
      </c>
      <c r="D74" s="122">
        <f>D52/(Intro!$B$23-Intro!$B$22)</f>
        <v>-40847.931812237752</v>
      </c>
      <c r="E74" s="122">
        <f>E52/(Intro!$B$23-Intro!$B$22)</f>
        <v>-211675.25567826498</v>
      </c>
      <c r="F74" s="122">
        <f>F52/(Intro!$B$23-Intro!$B$22)</f>
        <v>-28881.949450859393</v>
      </c>
      <c r="G74" s="122">
        <f>G52/(Intro!$B$23-Intro!$B$22)</f>
        <v>333.64053337338407</v>
      </c>
      <c r="H74" s="122">
        <f>H52/(Intro!$B$23-Intro!$B$22)</f>
        <v>8192.0513442520351</v>
      </c>
      <c r="I74" s="122">
        <f>I52/(Intro!$B$23-Intro!$B$22)</f>
        <v>2922.0337782248521</v>
      </c>
      <c r="J74" s="122">
        <f>J52/(Intro!$B$23-Intro!$B$22)</f>
        <v>209.61058782805443</v>
      </c>
      <c r="K74" s="122">
        <f>K52/(Intro!$B$23-Intro!$B$22)</f>
        <v>419.5676968710676</v>
      </c>
      <c r="L74" s="122">
        <f>L52/(Intro!$B$23-Intro!$B$22)</f>
        <v>773.20812287616786</v>
      </c>
      <c r="M74" s="122">
        <f>M52/(Intro!$B$23-Intro!$B$22)</f>
        <v>571.75043550368378</v>
      </c>
      <c r="N74" s="122">
        <f>N52/(Intro!$B$23-Intro!$B$22)</f>
        <v>3126.6355249364324</v>
      </c>
      <c r="O74" s="122">
        <f>O52/(Intro!$B$23-Intro!$B$22)</f>
        <v>4653.2384493440386</v>
      </c>
      <c r="P74" s="122">
        <f>P52/(Intro!$B$23-Intro!$B$22)</f>
        <v>8019.5344945007482</v>
      </c>
      <c r="Q74" s="122">
        <f>Q52/(Intro!$B$23-Intro!$B$22)</f>
        <v>0</v>
      </c>
      <c r="R74" s="122">
        <f>R52/(Intro!$B$23-Intro!$B$22)</f>
        <v>0</v>
      </c>
      <c r="S74" s="112">
        <f>S52/(Intro!$B$23-Intro!$B$22)</f>
        <v>-252905.18385357052</v>
      </c>
    </row>
    <row r="76" spans="1:19" x14ac:dyDescent="0.35">
      <c r="A76" s="2" t="s">
        <v>377</v>
      </c>
    </row>
    <row r="77" spans="1:19" ht="16.5" x14ac:dyDescent="0.45">
      <c r="A77" s="82" t="s">
        <v>276</v>
      </c>
      <c r="B77" s="11"/>
      <c r="C77" s="2" t="s">
        <v>179</v>
      </c>
      <c r="F77" s="82"/>
      <c r="G77" s="39"/>
      <c r="H77" s="131"/>
    </row>
    <row r="78" spans="1:19" x14ac:dyDescent="0.35">
      <c r="B78" s="129">
        <f>Intro!$B$23</f>
        <v>2016</v>
      </c>
      <c r="C78" s="16" t="s">
        <v>4</v>
      </c>
      <c r="D78" s="16"/>
      <c r="E78" s="16"/>
      <c r="F78" s="16"/>
      <c r="G78" s="252" t="s">
        <v>6</v>
      </c>
      <c r="H78" s="252"/>
      <c r="I78" s="252"/>
      <c r="J78" s="257" t="s">
        <v>5</v>
      </c>
      <c r="K78" s="18" t="s">
        <v>50</v>
      </c>
      <c r="L78" s="18"/>
      <c r="M78" s="19" t="s">
        <v>51</v>
      </c>
      <c r="N78" s="19"/>
      <c r="O78" s="19"/>
      <c r="P78" s="19"/>
      <c r="Q78" s="20" t="s">
        <v>52</v>
      </c>
      <c r="R78" s="20"/>
    </row>
    <row r="79" spans="1:19" ht="31.5" x14ac:dyDescent="0.35">
      <c r="A79" s="22">
        <f>Intro!$B$22</f>
        <v>2011</v>
      </c>
      <c r="B79" s="21"/>
      <c r="C79" s="23" t="s">
        <v>53</v>
      </c>
      <c r="D79" s="23" t="s">
        <v>54</v>
      </c>
      <c r="E79" s="23" t="s">
        <v>55</v>
      </c>
      <c r="F79" s="23" t="s">
        <v>56</v>
      </c>
      <c r="G79" s="256" t="s">
        <v>57</v>
      </c>
      <c r="H79" s="256" t="s">
        <v>58</v>
      </c>
      <c r="I79" s="256" t="s">
        <v>59</v>
      </c>
      <c r="J79" s="258" t="s">
        <v>117</v>
      </c>
      <c r="K79" s="25" t="s">
        <v>60</v>
      </c>
      <c r="L79" s="25" t="s">
        <v>61</v>
      </c>
      <c r="M79" s="26" t="s">
        <v>62</v>
      </c>
      <c r="N79" s="26" t="s">
        <v>63</v>
      </c>
      <c r="O79" s="26" t="s">
        <v>64</v>
      </c>
      <c r="P79" s="26" t="s">
        <v>65</v>
      </c>
      <c r="Q79" s="27" t="s">
        <v>66</v>
      </c>
      <c r="R79" s="27" t="s">
        <v>67</v>
      </c>
      <c r="S79" s="350"/>
    </row>
    <row r="80" spans="1:19" x14ac:dyDescent="0.35">
      <c r="A80" s="16" t="s">
        <v>4</v>
      </c>
      <c r="B80" s="28" t="s">
        <v>53</v>
      </c>
      <c r="C80" s="111">
        <f>C58</f>
        <v>-664.29078739483612</v>
      </c>
      <c r="D80" s="111">
        <f t="shared" ref="D80:R80" si="19">D58</f>
        <v>-6.38614198292741</v>
      </c>
      <c r="E80" s="111">
        <f t="shared" si="19"/>
        <v>-2.1733872592607506</v>
      </c>
      <c r="F80" s="111">
        <f t="shared" si="19"/>
        <v>0</v>
      </c>
      <c r="G80" s="111">
        <f>'4c. F to NF correction'!G43</f>
        <v>8.2366296413805813</v>
      </c>
      <c r="H80" s="111">
        <f>'4c. F to NF correction'!H43</f>
        <v>276.23958986588349</v>
      </c>
      <c r="I80" s="111">
        <f>'4c. F to NF correction'!I43</f>
        <v>403.74275311421957</v>
      </c>
      <c r="J80" s="111">
        <f t="shared" si="19"/>
        <v>0</v>
      </c>
      <c r="K80" s="111">
        <f t="shared" si="19"/>
        <v>18.647612930650137</v>
      </c>
      <c r="L80" s="111">
        <f t="shared" si="19"/>
        <v>0</v>
      </c>
      <c r="M80" s="111">
        <f t="shared" si="19"/>
        <v>0</v>
      </c>
      <c r="N80" s="111">
        <f t="shared" si="19"/>
        <v>5.7258635189449318</v>
      </c>
      <c r="O80" s="111">
        <f t="shared" si="19"/>
        <v>0</v>
      </c>
      <c r="P80" s="111">
        <f t="shared" si="19"/>
        <v>0</v>
      </c>
      <c r="Q80" s="111">
        <f t="shared" si="19"/>
        <v>0</v>
      </c>
      <c r="R80" s="111">
        <f t="shared" si="19"/>
        <v>0</v>
      </c>
    </row>
    <row r="81" spans="1:19" x14ac:dyDescent="0.35">
      <c r="A81" s="16"/>
      <c r="B81" s="28" t="s">
        <v>54</v>
      </c>
      <c r="C81" s="111">
        <f t="shared" ref="C81:R81" si="20">C59</f>
        <v>-0.44040173593886722</v>
      </c>
      <c r="D81" s="111">
        <f>D59</f>
        <v>-39924.99464413902</v>
      </c>
      <c r="E81" s="111">
        <f t="shared" si="20"/>
        <v>-8.7608133388520351</v>
      </c>
      <c r="F81" s="111">
        <f t="shared" si="20"/>
        <v>0</v>
      </c>
      <c r="G81" s="111">
        <f>'4c. F to NF correction'!G44</f>
        <v>23.441318191743573</v>
      </c>
      <c r="H81" s="111">
        <f>'4c. F to NF correction'!H44</f>
        <v>218.88911078797736</v>
      </c>
      <c r="I81" s="111">
        <f>'4c. F to NF correction'!I44</f>
        <v>148.53001526281858</v>
      </c>
      <c r="J81" s="111">
        <f t="shared" si="20"/>
        <v>38.617306922910174</v>
      </c>
      <c r="K81" s="111">
        <f t="shared" si="20"/>
        <v>18.011299839146925</v>
      </c>
      <c r="L81" s="111">
        <f t="shared" si="20"/>
        <v>0</v>
      </c>
      <c r="M81" s="111">
        <f t="shared" si="20"/>
        <v>5.2463875179132975</v>
      </c>
      <c r="N81" s="111">
        <f t="shared" si="20"/>
        <v>26.251775450750365</v>
      </c>
      <c r="O81" s="111">
        <f t="shared" si="20"/>
        <v>230.59912684945817</v>
      </c>
      <c r="P81" s="111">
        <f t="shared" si="20"/>
        <v>1007.1100892967692</v>
      </c>
      <c r="Q81" s="111">
        <f t="shared" si="20"/>
        <v>0</v>
      </c>
      <c r="R81" s="111">
        <f t="shared" si="20"/>
        <v>0</v>
      </c>
      <c r="S81" s="131"/>
    </row>
    <row r="82" spans="1:19" x14ac:dyDescent="0.35">
      <c r="A82" s="16"/>
      <c r="B82" s="28" t="s">
        <v>55</v>
      </c>
      <c r="C82" s="111">
        <f t="shared" ref="C82:R82" si="21">C60</f>
        <v>-0.4815329544776118</v>
      </c>
      <c r="D82" s="111">
        <f t="shared" si="21"/>
        <v>-118.63704369921227</v>
      </c>
      <c r="E82" s="111">
        <f>E60</f>
        <v>-209397.55305298872</v>
      </c>
      <c r="F82" s="111">
        <f t="shared" si="21"/>
        <v>0</v>
      </c>
      <c r="G82" s="111">
        <f>'4c. F to NF correction'!G45</f>
        <v>301.96258554025997</v>
      </c>
      <c r="H82" s="111">
        <f>'4c. F to NF correction'!H45</f>
        <v>7696.9226435981736</v>
      </c>
      <c r="I82" s="111">
        <f>'4c. F to NF correction'!I45</f>
        <v>2369.7610098478135</v>
      </c>
      <c r="J82" s="111">
        <f t="shared" si="21"/>
        <v>170.99328090514425</v>
      </c>
      <c r="K82" s="111">
        <f t="shared" si="21"/>
        <v>228.49361998819421</v>
      </c>
      <c r="L82" s="111">
        <f t="shared" si="21"/>
        <v>17.541143112972406</v>
      </c>
      <c r="M82" s="111">
        <f t="shared" si="21"/>
        <v>566.50404798577051</v>
      </c>
      <c r="N82" s="111">
        <f t="shared" si="21"/>
        <v>3083.9045481520575</v>
      </c>
      <c r="O82" s="111">
        <f t="shared" si="21"/>
        <v>4358.020634096245</v>
      </c>
      <c r="P82" s="111">
        <f t="shared" si="21"/>
        <v>6926.4102763768115</v>
      </c>
      <c r="Q82" s="111">
        <f t="shared" si="21"/>
        <v>0</v>
      </c>
      <c r="R82" s="111">
        <f t="shared" si="21"/>
        <v>0</v>
      </c>
      <c r="S82" s="131"/>
    </row>
    <row r="83" spans="1:19" x14ac:dyDescent="0.35">
      <c r="A83" s="16"/>
      <c r="B83" s="28" t="s">
        <v>56</v>
      </c>
      <c r="C83" s="111">
        <f t="shared" ref="C83:R83" si="22">C61</f>
        <v>0</v>
      </c>
      <c r="D83" s="111">
        <f t="shared" si="22"/>
        <v>0</v>
      </c>
      <c r="E83" s="111">
        <f t="shared" si="22"/>
        <v>0</v>
      </c>
      <c r="F83" s="111">
        <f>F61</f>
        <v>-28367.448715752813</v>
      </c>
      <c r="G83" s="111">
        <f>'4c. F to NF correction'!G46</f>
        <v>0</v>
      </c>
      <c r="H83" s="111">
        <f>'4c. F to NF correction'!H46</f>
        <v>0</v>
      </c>
      <c r="I83" s="111">
        <f>'4c. F to NF correction'!I46</f>
        <v>0</v>
      </c>
      <c r="J83" s="111">
        <f t="shared" si="22"/>
        <v>0</v>
      </c>
      <c r="K83" s="111">
        <f t="shared" si="22"/>
        <v>154.41516411307629</v>
      </c>
      <c r="L83" s="111">
        <f t="shared" si="22"/>
        <v>755.66697976319551</v>
      </c>
      <c r="M83" s="111">
        <f t="shared" si="22"/>
        <v>0</v>
      </c>
      <c r="N83" s="111">
        <f t="shared" si="22"/>
        <v>10.753337814679401</v>
      </c>
      <c r="O83" s="111">
        <f t="shared" si="22"/>
        <v>64.61868839833383</v>
      </c>
      <c r="P83" s="111">
        <f t="shared" si="22"/>
        <v>86.014128827167923</v>
      </c>
      <c r="Q83" s="111">
        <f t="shared" si="22"/>
        <v>0</v>
      </c>
      <c r="R83" s="111">
        <f t="shared" si="22"/>
        <v>0</v>
      </c>
      <c r="S83" s="131"/>
    </row>
    <row r="84" spans="1:19" x14ac:dyDescent="0.35">
      <c r="A84" s="252" t="s">
        <v>6</v>
      </c>
      <c r="B84" s="253" t="s">
        <v>57</v>
      </c>
      <c r="C84" s="111">
        <f>'4c. F to NF correction'!C47</f>
        <v>-13.111248915160484</v>
      </c>
      <c r="D84" s="111">
        <f>'4c. F to NF correction'!D47</f>
        <v>-82.789548302401229</v>
      </c>
      <c r="E84" s="111">
        <f>'4c. F to NF correction'!E47</f>
        <v>-171.9816984846224</v>
      </c>
      <c r="F84" s="111">
        <f>'4c. F to NF correction'!F47</f>
        <v>-2.5734154096126476</v>
      </c>
      <c r="G84" s="314"/>
      <c r="H84" s="315"/>
      <c r="I84" s="316"/>
      <c r="J84" s="317"/>
      <c r="K84" s="318"/>
      <c r="L84" s="319"/>
      <c r="M84" s="320"/>
      <c r="N84" s="320"/>
      <c r="O84" s="320"/>
      <c r="P84" s="320"/>
      <c r="Q84" s="321"/>
      <c r="R84" s="322"/>
      <c r="S84" s="131"/>
    </row>
    <row r="85" spans="1:19" x14ac:dyDescent="0.35">
      <c r="A85" s="252"/>
      <c r="B85" s="253" t="s">
        <v>58</v>
      </c>
      <c r="C85" s="111">
        <f>'4c. F to NF correction'!C48</f>
        <v>-9.9609175678735102</v>
      </c>
      <c r="D85" s="111">
        <f>'4c. F to NF correction'!D48</f>
        <v>-48.917522503726168</v>
      </c>
      <c r="E85" s="111">
        <f>'4c. F to NF correction'!E48</f>
        <v>-274.5758395621441</v>
      </c>
      <c r="F85" s="111">
        <f>'4c. F to NF correction'!F48</f>
        <v>0</v>
      </c>
      <c r="G85" s="323"/>
      <c r="H85" s="324"/>
      <c r="I85" s="325"/>
      <c r="J85" s="326"/>
      <c r="K85" s="325"/>
      <c r="L85" s="327"/>
      <c r="M85" s="328"/>
      <c r="N85" s="325"/>
      <c r="O85" s="329"/>
      <c r="P85" s="327"/>
      <c r="Q85" s="330"/>
      <c r="R85" s="330"/>
      <c r="S85" s="131"/>
    </row>
    <row r="86" spans="1:19" x14ac:dyDescent="0.35">
      <c r="A86" s="252"/>
      <c r="B86" s="253" t="s">
        <v>59</v>
      </c>
      <c r="C86" s="111">
        <f>'4c. F to NF correction'!C49</f>
        <v>-33.032991350590002</v>
      </c>
      <c r="D86" s="111">
        <f>'4c. F to NF correction'!D49</f>
        <v>-654.71815843237709</v>
      </c>
      <c r="E86" s="111">
        <f>'4c. F to NF correction'!E49</f>
        <v>-1738.6959858322557</v>
      </c>
      <c r="F86" s="111">
        <f>'4c. F to NF correction'!F49</f>
        <v>-1.0293564354752953</v>
      </c>
      <c r="G86" s="331"/>
      <c r="H86" s="328"/>
      <c r="I86" s="332"/>
      <c r="J86" s="333"/>
      <c r="K86" s="318"/>
      <c r="L86" s="334"/>
      <c r="M86" s="335"/>
      <c r="N86" s="318"/>
      <c r="O86" s="336"/>
      <c r="P86" s="337"/>
      <c r="Q86" s="338"/>
      <c r="R86" s="330"/>
      <c r="S86" s="131"/>
    </row>
    <row r="87" spans="1:19" x14ac:dyDescent="0.35">
      <c r="A87" s="254" t="s">
        <v>5</v>
      </c>
      <c r="B87" s="255" t="s">
        <v>117</v>
      </c>
      <c r="C87" s="111">
        <f t="shared" ref="C87:F87" si="23">C65</f>
        <v>0</v>
      </c>
      <c r="D87" s="111">
        <f t="shared" si="23"/>
        <v>0</v>
      </c>
      <c r="E87" s="111">
        <f t="shared" si="23"/>
        <v>0</v>
      </c>
      <c r="F87" s="111">
        <f t="shared" si="23"/>
        <v>0</v>
      </c>
      <c r="G87" s="323"/>
      <c r="H87" s="328"/>
      <c r="I87" s="339"/>
      <c r="J87" s="326"/>
      <c r="K87" s="325"/>
      <c r="L87" s="327"/>
      <c r="M87" s="328"/>
      <c r="N87" s="325"/>
      <c r="O87" s="329"/>
      <c r="P87" s="329"/>
      <c r="Q87" s="340"/>
      <c r="R87" s="330"/>
      <c r="S87" s="131"/>
    </row>
    <row r="88" spans="1:19" x14ac:dyDescent="0.35">
      <c r="A88" s="18" t="s">
        <v>50</v>
      </c>
      <c r="B88" s="33" t="s">
        <v>60</v>
      </c>
      <c r="C88" s="111">
        <f t="shared" ref="C88:F88" si="24">C66</f>
        <v>0</v>
      </c>
      <c r="D88" s="111">
        <f t="shared" si="24"/>
        <v>-11.488753178094496</v>
      </c>
      <c r="E88" s="111">
        <f t="shared" si="24"/>
        <v>-80.108137816659891</v>
      </c>
      <c r="F88" s="111">
        <f t="shared" si="24"/>
        <v>-226.466543971601</v>
      </c>
      <c r="G88" s="341"/>
      <c r="H88" s="330"/>
      <c r="I88" s="330"/>
      <c r="J88" s="326"/>
      <c r="K88" s="339"/>
      <c r="L88" s="327"/>
      <c r="M88" s="330"/>
      <c r="N88" s="342"/>
      <c r="O88" s="330"/>
      <c r="P88" s="329"/>
      <c r="Q88" s="336"/>
      <c r="R88" s="330"/>
      <c r="S88" s="131"/>
    </row>
    <row r="89" spans="1:19" ht="21" x14ac:dyDescent="0.35">
      <c r="A89" s="18"/>
      <c r="B89" s="33" t="s">
        <v>61</v>
      </c>
      <c r="C89" s="111">
        <f t="shared" ref="C89:F89" si="25">C67</f>
        <v>0</v>
      </c>
      <c r="D89" s="111">
        <f t="shared" si="25"/>
        <v>0</v>
      </c>
      <c r="E89" s="111">
        <f t="shared" si="25"/>
        <v>0</v>
      </c>
      <c r="F89" s="111">
        <f t="shared" si="25"/>
        <v>-284.43141928989343</v>
      </c>
      <c r="G89" s="331"/>
      <c r="H89" s="343"/>
      <c r="I89" s="330"/>
      <c r="J89" s="326"/>
      <c r="K89" s="325"/>
      <c r="L89" s="344"/>
      <c r="M89" s="325"/>
      <c r="N89" s="327"/>
      <c r="O89" s="325"/>
      <c r="P89" s="345"/>
      <c r="Q89" s="329"/>
      <c r="R89" s="330"/>
      <c r="S89" s="131"/>
    </row>
    <row r="90" spans="1:19" x14ac:dyDescent="0.35">
      <c r="A90" s="19" t="s">
        <v>51</v>
      </c>
      <c r="B90" s="34" t="s">
        <v>62</v>
      </c>
      <c r="C90" s="111">
        <f t="shared" ref="C90:F90" si="26">C68</f>
        <v>0</v>
      </c>
      <c r="D90" s="111">
        <f t="shared" si="26"/>
        <v>0</v>
      </c>
      <c r="E90" s="111">
        <f t="shared" si="26"/>
        <v>0</v>
      </c>
      <c r="F90" s="111">
        <f t="shared" si="26"/>
        <v>0</v>
      </c>
      <c r="G90" s="341"/>
      <c r="H90" s="346"/>
      <c r="I90" s="346"/>
      <c r="J90" s="333"/>
      <c r="K90" s="346"/>
      <c r="L90" s="347"/>
      <c r="M90" s="318"/>
      <c r="N90" s="347"/>
      <c r="O90" s="346"/>
      <c r="P90" s="338"/>
      <c r="Q90" s="338"/>
      <c r="R90" s="346"/>
      <c r="S90" s="131"/>
    </row>
    <row r="91" spans="1:19" x14ac:dyDescent="0.35">
      <c r="A91" s="19"/>
      <c r="B91" s="34" t="s">
        <v>63</v>
      </c>
      <c r="C91" s="111">
        <f t="shared" ref="C91:F91" si="27">C69</f>
        <v>0</v>
      </c>
      <c r="D91" s="111">
        <f t="shared" si="27"/>
        <v>0</v>
      </c>
      <c r="E91" s="111">
        <f t="shared" si="27"/>
        <v>0</v>
      </c>
      <c r="F91" s="111">
        <f t="shared" si="27"/>
        <v>0</v>
      </c>
      <c r="G91" s="341"/>
      <c r="H91" s="330"/>
      <c r="I91" s="330"/>
      <c r="J91" s="326"/>
      <c r="K91" s="330"/>
      <c r="L91" s="342"/>
      <c r="M91" s="325"/>
      <c r="N91" s="344"/>
      <c r="O91" s="330"/>
      <c r="P91" s="340"/>
      <c r="Q91" s="340"/>
      <c r="R91" s="330"/>
      <c r="S91" s="131"/>
    </row>
    <row r="92" spans="1:19" x14ac:dyDescent="0.35">
      <c r="A92" s="19"/>
      <c r="B92" s="34" t="s">
        <v>64</v>
      </c>
      <c r="C92" s="111">
        <f t="shared" ref="C92:F92" si="28">C70</f>
        <v>0</v>
      </c>
      <c r="D92" s="111">
        <f t="shared" si="28"/>
        <v>0</v>
      </c>
      <c r="E92" s="111">
        <f t="shared" si="28"/>
        <v>0</v>
      </c>
      <c r="F92" s="111">
        <f t="shared" si="28"/>
        <v>0</v>
      </c>
      <c r="G92" s="348"/>
      <c r="H92" s="330"/>
      <c r="I92" s="346"/>
      <c r="J92" s="333"/>
      <c r="K92" s="346"/>
      <c r="L92" s="347"/>
      <c r="M92" s="318"/>
      <c r="N92" s="334"/>
      <c r="O92" s="332"/>
      <c r="P92" s="338"/>
      <c r="Q92" s="338"/>
      <c r="R92" s="330"/>
      <c r="S92" s="131"/>
    </row>
    <row r="93" spans="1:19" x14ac:dyDescent="0.35">
      <c r="A93" s="19"/>
      <c r="B93" s="34" t="s">
        <v>65</v>
      </c>
      <c r="C93" s="111">
        <f t="shared" ref="C93:F93" si="29">C71</f>
        <v>0</v>
      </c>
      <c r="D93" s="111">
        <f t="shared" si="29"/>
        <v>0</v>
      </c>
      <c r="E93" s="111">
        <f t="shared" si="29"/>
        <v>0</v>
      </c>
      <c r="F93" s="111">
        <f t="shared" si="29"/>
        <v>0</v>
      </c>
      <c r="G93" s="348"/>
      <c r="H93" s="330"/>
      <c r="I93" s="330"/>
      <c r="J93" s="326"/>
      <c r="K93" s="330"/>
      <c r="L93" s="342"/>
      <c r="M93" s="325"/>
      <c r="N93" s="327"/>
      <c r="O93" s="325"/>
      <c r="P93" s="349"/>
      <c r="Q93" s="340"/>
      <c r="R93" s="346"/>
      <c r="S93" s="131"/>
    </row>
    <row r="94" spans="1:19" x14ac:dyDescent="0.35">
      <c r="A94" s="20" t="s">
        <v>52</v>
      </c>
      <c r="B94" s="35" t="s">
        <v>66</v>
      </c>
      <c r="C94" s="111">
        <f t="shared" ref="C94:F94" si="30">C72</f>
        <v>0</v>
      </c>
      <c r="D94" s="111">
        <f t="shared" si="30"/>
        <v>0</v>
      </c>
      <c r="E94" s="111">
        <f t="shared" si="30"/>
        <v>-1.4067629824497048</v>
      </c>
      <c r="F94" s="111">
        <f t="shared" si="30"/>
        <v>0</v>
      </c>
      <c r="G94" s="348"/>
      <c r="H94" s="325"/>
      <c r="I94" s="325"/>
      <c r="J94" s="326"/>
      <c r="K94" s="325"/>
      <c r="L94" s="327"/>
      <c r="M94" s="330"/>
      <c r="N94" s="327"/>
      <c r="O94" s="325"/>
      <c r="P94" s="329"/>
      <c r="Q94" s="349"/>
      <c r="R94" s="330"/>
      <c r="S94" s="131"/>
    </row>
    <row r="95" spans="1:19" x14ac:dyDescent="0.35">
      <c r="A95" s="20"/>
      <c r="B95" s="35" t="s">
        <v>68</v>
      </c>
      <c r="C95" s="111">
        <f t="shared" ref="C95:F95" si="31">C73</f>
        <v>0</v>
      </c>
      <c r="D95" s="111">
        <f t="shared" si="31"/>
        <v>0</v>
      </c>
      <c r="E95" s="111">
        <f t="shared" si="31"/>
        <v>0</v>
      </c>
      <c r="F95" s="111">
        <f t="shared" si="31"/>
        <v>0</v>
      </c>
      <c r="G95" s="341"/>
      <c r="H95" s="330"/>
      <c r="I95" s="330"/>
      <c r="J95" s="326"/>
      <c r="K95" s="330"/>
      <c r="L95" s="342"/>
      <c r="M95" s="330"/>
      <c r="N95" s="342"/>
      <c r="O95" s="330"/>
      <c r="P95" s="340"/>
      <c r="Q95" s="340"/>
      <c r="R95" s="325"/>
      <c r="S95" s="132"/>
    </row>
    <row r="96" spans="1:19" x14ac:dyDescent="0.35">
      <c r="A96" s="121" t="s">
        <v>127</v>
      </c>
      <c r="B96" s="55"/>
      <c r="C96" s="122">
        <f>SUM(C80:C95)</f>
        <v>-721.31787991887654</v>
      </c>
      <c r="D96" s="122">
        <f t="shared" ref="D96:R96" si="32">SUM(D80:D95)</f>
        <v>-40847.931812237759</v>
      </c>
      <c r="E96" s="122">
        <f t="shared" si="32"/>
        <v>-211675.25567826495</v>
      </c>
      <c r="F96" s="122">
        <f t="shared" si="32"/>
        <v>-28881.949450859396</v>
      </c>
      <c r="G96" s="122">
        <f t="shared" si="32"/>
        <v>333.64053337338413</v>
      </c>
      <c r="H96" s="122">
        <f t="shared" si="32"/>
        <v>8192.0513442520351</v>
      </c>
      <c r="I96" s="122">
        <f t="shared" si="32"/>
        <v>2922.0337782248516</v>
      </c>
      <c r="J96" s="122">
        <f t="shared" si="32"/>
        <v>209.61058782805441</v>
      </c>
      <c r="K96" s="122">
        <f t="shared" si="32"/>
        <v>419.56769687106754</v>
      </c>
      <c r="L96" s="122">
        <f t="shared" si="32"/>
        <v>773.20812287616786</v>
      </c>
      <c r="M96" s="122">
        <f t="shared" si="32"/>
        <v>571.75043550368378</v>
      </c>
      <c r="N96" s="122">
        <f t="shared" si="32"/>
        <v>3126.6355249364324</v>
      </c>
      <c r="O96" s="122">
        <f t="shared" si="32"/>
        <v>4653.2384493440368</v>
      </c>
      <c r="P96" s="122">
        <f t="shared" si="32"/>
        <v>8019.5344945007482</v>
      </c>
      <c r="Q96" s="122">
        <f t="shared" si="32"/>
        <v>0</v>
      </c>
      <c r="R96" s="122">
        <f t="shared" si="32"/>
        <v>0</v>
      </c>
      <c r="S96" s="458">
        <f>SUM(C96:R96)</f>
        <v>-252905.18385357055</v>
      </c>
    </row>
    <row r="97" spans="1:19" x14ac:dyDescent="0.35">
      <c r="A97" s="243"/>
      <c r="B97" s="11"/>
      <c r="C97" s="168"/>
      <c r="D97" s="168"/>
      <c r="E97" s="168"/>
      <c r="F97" s="168"/>
      <c r="G97" s="168"/>
      <c r="H97" s="168"/>
      <c r="I97" s="168"/>
      <c r="J97" s="168"/>
      <c r="K97" s="168"/>
      <c r="L97" s="168"/>
      <c r="M97" s="168"/>
      <c r="N97" s="168"/>
      <c r="O97" s="168"/>
      <c r="P97" s="168"/>
      <c r="Q97" s="168"/>
      <c r="R97" s="168"/>
      <c r="S97" s="41"/>
    </row>
    <row r="98" spans="1:19" x14ac:dyDescent="0.35">
      <c r="A98" s="2" t="s">
        <v>378</v>
      </c>
      <c r="H98" s="39">
        <f>SUM(C80:F95)</f>
        <v>-282126.45482128102</v>
      </c>
      <c r="M98" s="39"/>
    </row>
    <row r="99" spans="1:19" x14ac:dyDescent="0.35">
      <c r="A99" s="2" t="s">
        <v>173</v>
      </c>
    </row>
    <row r="100" spans="1:19" x14ac:dyDescent="0.35">
      <c r="A100" s="82" t="s">
        <v>277</v>
      </c>
    </row>
    <row r="101" spans="1:19" ht="16.5" x14ac:dyDescent="0.45">
      <c r="B101">
        <f>Intro!B23</f>
        <v>2016</v>
      </c>
      <c r="C101" s="2" t="s">
        <v>179</v>
      </c>
    </row>
    <row r="102" spans="1:19" x14ac:dyDescent="0.35">
      <c r="A102" s="180">
        <f>Intro!B22</f>
        <v>2011</v>
      </c>
      <c r="B102" s="16" t="s">
        <v>4</v>
      </c>
      <c r="C102" s="252" t="s">
        <v>6</v>
      </c>
      <c r="D102" s="257" t="s">
        <v>5</v>
      </c>
      <c r="E102" s="18" t="s">
        <v>50</v>
      </c>
      <c r="F102" s="19" t="s">
        <v>51</v>
      </c>
      <c r="G102" s="20" t="s">
        <v>52</v>
      </c>
      <c r="H102" s="165" t="s">
        <v>77</v>
      </c>
    </row>
    <row r="103" spans="1:19" x14ac:dyDescent="0.35">
      <c r="A103" s="16" t="s">
        <v>4</v>
      </c>
      <c r="B103" s="187">
        <f>SUM(C80:F83)</f>
        <v>-278491.16652124608</v>
      </c>
      <c r="C103" s="175">
        <f>SUM(G80:I83)</f>
        <v>11447.72565585027</v>
      </c>
      <c r="D103" s="174">
        <f>SUM(J80:J83)</f>
        <v>209.61058782805441</v>
      </c>
      <c r="E103" s="175">
        <f>SUM(K80:L83)</f>
        <v>1192.7758197472353</v>
      </c>
      <c r="F103" s="174">
        <f>SUM(M80:P83)</f>
        <v>16371.158904284903</v>
      </c>
      <c r="G103" s="175">
        <f>SUM(Q80:R83)</f>
        <v>0</v>
      </c>
      <c r="H103" s="175">
        <f>SUM(B103:G103)</f>
        <v>-249269.89555353564</v>
      </c>
    </row>
    <row r="104" spans="1:19" x14ac:dyDescent="0.35">
      <c r="A104" s="252" t="s">
        <v>6</v>
      </c>
      <c r="B104" s="175">
        <f>SUM(C84:F86)</f>
        <v>-3031.3866827962383</v>
      </c>
      <c r="C104" s="570"/>
      <c r="D104" s="571"/>
      <c r="E104" s="571"/>
      <c r="F104" s="572"/>
      <c r="G104" s="573"/>
      <c r="H104" s="176">
        <f t="shared" ref="H104:H108" si="33">SUM(B104:G104)</f>
        <v>-3031.3866827962383</v>
      </c>
    </row>
    <row r="105" spans="1:19" x14ac:dyDescent="0.35">
      <c r="A105" s="254" t="s">
        <v>5</v>
      </c>
      <c r="B105" s="174">
        <f>SUM(C87:F87)</f>
        <v>0</v>
      </c>
      <c r="C105" s="568"/>
      <c r="D105" s="566"/>
      <c r="E105" s="566"/>
      <c r="F105" s="566"/>
      <c r="G105" s="574"/>
      <c r="H105" s="176">
        <f t="shared" si="33"/>
        <v>0</v>
      </c>
    </row>
    <row r="106" spans="1:19" x14ac:dyDescent="0.35">
      <c r="A106" s="18" t="s">
        <v>50</v>
      </c>
      <c r="B106" s="175">
        <f>SUM(C88:F89)</f>
        <v>-602.4948542562488</v>
      </c>
      <c r="C106" s="569"/>
      <c r="D106" s="567"/>
      <c r="E106" s="566"/>
      <c r="F106" s="567"/>
      <c r="G106" s="575"/>
      <c r="H106" s="176">
        <f t="shared" si="33"/>
        <v>-602.4948542562488</v>
      </c>
    </row>
    <row r="107" spans="1:19" x14ac:dyDescent="0.35">
      <c r="A107" s="19" t="s">
        <v>51</v>
      </c>
      <c r="B107" s="175">
        <f>SUM(C90:F93)</f>
        <v>0</v>
      </c>
      <c r="C107" s="569"/>
      <c r="D107" s="567"/>
      <c r="E107" s="567"/>
      <c r="F107" s="566"/>
      <c r="G107" s="574"/>
      <c r="H107" s="176">
        <f t="shared" si="33"/>
        <v>0</v>
      </c>
    </row>
    <row r="108" spans="1:19" x14ac:dyDescent="0.35">
      <c r="A108" s="20" t="s">
        <v>52</v>
      </c>
      <c r="B108" s="174">
        <f>SUM(C94:F95)</f>
        <v>-1.4067629824497048</v>
      </c>
      <c r="C108" s="576"/>
      <c r="D108" s="577"/>
      <c r="E108" s="577"/>
      <c r="F108" s="578"/>
      <c r="G108" s="579"/>
      <c r="H108" s="176">
        <f t="shared" si="33"/>
        <v>-1.4067629824497048</v>
      </c>
    </row>
    <row r="109" spans="1:19" x14ac:dyDescent="0.35">
      <c r="A109" s="124" t="s">
        <v>77</v>
      </c>
      <c r="B109" s="174">
        <f>SUM(B103:B108)</f>
        <v>-282126.45482128096</v>
      </c>
      <c r="C109" s="565">
        <f t="shared" ref="C109:H109" si="34">SUM(C103:C108)</f>
        <v>11447.72565585027</v>
      </c>
      <c r="D109" s="565">
        <f t="shared" si="34"/>
        <v>209.61058782805441</v>
      </c>
      <c r="E109" s="565">
        <f t="shared" si="34"/>
        <v>1192.7758197472353</v>
      </c>
      <c r="F109" s="565">
        <f t="shared" si="34"/>
        <v>16371.158904284903</v>
      </c>
      <c r="G109" s="565">
        <f t="shared" si="34"/>
        <v>0</v>
      </c>
      <c r="H109" s="187">
        <f t="shared" si="34"/>
        <v>-252905.18385357058</v>
      </c>
    </row>
    <row r="111" spans="1:19" x14ac:dyDescent="0.35">
      <c r="A111" s="2" t="s">
        <v>379</v>
      </c>
    </row>
    <row r="112" spans="1:19" x14ac:dyDescent="0.35">
      <c r="A112" s="2" t="s">
        <v>385</v>
      </c>
    </row>
    <row r="113" spans="1:9" x14ac:dyDescent="0.35">
      <c r="C113" s="2" t="s">
        <v>177</v>
      </c>
      <c r="I113" s="109"/>
    </row>
    <row r="114" spans="1:9" x14ac:dyDescent="0.35">
      <c r="B114" s="11"/>
      <c r="C114" s="247" t="s">
        <v>141</v>
      </c>
      <c r="D114" s="247" t="s">
        <v>259</v>
      </c>
      <c r="E114" s="247" t="s">
        <v>261</v>
      </c>
      <c r="F114" s="247" t="s">
        <v>143</v>
      </c>
      <c r="G114" s="247" t="s">
        <v>77</v>
      </c>
    </row>
    <row r="115" spans="1:9" x14ac:dyDescent="0.35">
      <c r="B115" s="371" t="s">
        <v>53</v>
      </c>
      <c r="C115" s="178">
        <f>'2a. Forest AD'!C49*'3a. Forest EF_RF'!C71</f>
        <v>0</v>
      </c>
      <c r="D115" s="178">
        <f>'2a. Forest AD'!D49*'3a. Forest EF_RF'!D71</f>
        <v>0</v>
      </c>
      <c r="E115" s="178">
        <f>'2a. Forest AD'!E49*'3a. Forest EF_RF'!E71</f>
        <v>0</v>
      </c>
      <c r="F115" s="178">
        <f>'2a. Forest AD'!F49*'3a. Forest EF_RF'!F71</f>
        <v>0</v>
      </c>
      <c r="G115" s="372">
        <f>SUM(C115:F115)</f>
        <v>0</v>
      </c>
    </row>
    <row r="116" spans="1:9" x14ac:dyDescent="0.35">
      <c r="B116" s="371" t="s">
        <v>54</v>
      </c>
      <c r="C116" s="178">
        <f>'2a. Forest AD'!C50*'3a. Forest EF_RF'!C72</f>
        <v>0</v>
      </c>
      <c r="D116" s="178">
        <f>'2a. Forest AD'!D50*'3a. Forest EF_RF'!D72</f>
        <v>0</v>
      </c>
      <c r="E116" s="178">
        <f>'2a. Forest AD'!E50*'3a. Forest EF_RF'!E72</f>
        <v>0</v>
      </c>
      <c r="F116" s="178">
        <f>'2a. Forest AD'!F50*'3a. Forest EF_RF'!F72</f>
        <v>0</v>
      </c>
      <c r="G116" s="372">
        <f t="shared" ref="G116:G118" si="35">SUM(C116:F116)</f>
        <v>0</v>
      </c>
    </row>
    <row r="117" spans="1:9" x14ac:dyDescent="0.35">
      <c r="B117" s="371" t="s">
        <v>55</v>
      </c>
      <c r="C117" s="178">
        <f>'2a. Forest AD'!C51*'3a. Forest EF_RF'!C73</f>
        <v>0</v>
      </c>
      <c r="D117" s="178">
        <f>'2a. Forest AD'!D51*'3a. Forest EF_RF'!D73</f>
        <v>0</v>
      </c>
      <c r="E117" s="178">
        <f>'2a. Forest AD'!E51*'3a. Forest EF_RF'!E73</f>
        <v>0</v>
      </c>
      <c r="F117" s="178">
        <f>'2a. Forest AD'!F51*'3a. Forest EF_RF'!F73</f>
        <v>0</v>
      </c>
      <c r="G117" s="372">
        <f t="shared" si="35"/>
        <v>0</v>
      </c>
    </row>
    <row r="118" spans="1:9" x14ac:dyDescent="0.35">
      <c r="B118" s="371" t="s">
        <v>50</v>
      </c>
      <c r="C118" s="178">
        <f>'2a. Forest AD'!C52*'3a. Forest EF_RF'!C74</f>
        <v>0</v>
      </c>
      <c r="D118" s="178">
        <f>'2a. Forest AD'!D52*'3a. Forest EF_RF'!D74</f>
        <v>0</v>
      </c>
      <c r="E118" s="178">
        <f>'2a. Forest AD'!E52*'3a. Forest EF_RF'!E74</f>
        <v>0</v>
      </c>
      <c r="F118" s="178">
        <f>'2a. Forest AD'!F52*'3a. Forest EF_RF'!F74</f>
        <v>0</v>
      </c>
      <c r="G118" s="372">
        <f t="shared" si="35"/>
        <v>0</v>
      </c>
    </row>
    <row r="119" spans="1:9" x14ac:dyDescent="0.35">
      <c r="B119" s="57" t="s">
        <v>77</v>
      </c>
      <c r="C119" s="373">
        <f>SUM(C115:C118)</f>
        <v>0</v>
      </c>
      <c r="D119" s="373">
        <f t="shared" ref="D119:G119" si="36">SUM(D115:D118)</f>
        <v>0</v>
      </c>
      <c r="E119" s="373">
        <f t="shared" si="36"/>
        <v>0</v>
      </c>
      <c r="F119" s="373">
        <f t="shared" si="36"/>
        <v>0</v>
      </c>
      <c r="G119" s="373">
        <f t="shared" si="36"/>
        <v>0</v>
      </c>
    </row>
    <row r="120" spans="1:9" x14ac:dyDescent="0.35">
      <c r="B120" s="57"/>
      <c r="C120" s="75"/>
      <c r="D120" s="75"/>
      <c r="E120" s="75"/>
      <c r="F120" s="75"/>
      <c r="G120" s="75"/>
    </row>
    <row r="121" spans="1:9" x14ac:dyDescent="0.35">
      <c r="A121" s="2" t="s">
        <v>380</v>
      </c>
      <c r="B121" s="57"/>
      <c r="C121" s="75"/>
      <c r="D121" s="75"/>
      <c r="E121" s="75"/>
      <c r="F121" s="75"/>
      <c r="G121" s="75"/>
    </row>
    <row r="122" spans="1:9" ht="16.5" x14ac:dyDescent="0.45">
      <c r="C122" s="2" t="s">
        <v>178</v>
      </c>
    </row>
    <row r="123" spans="1:9" x14ac:dyDescent="0.35">
      <c r="B123" s="11"/>
      <c r="C123" s="247" t="s">
        <v>141</v>
      </c>
      <c r="D123" s="247" t="s">
        <v>259</v>
      </c>
      <c r="E123" s="247" t="s">
        <v>261</v>
      </c>
      <c r="F123" s="247" t="s">
        <v>143</v>
      </c>
      <c r="G123" s="247" t="s">
        <v>77</v>
      </c>
    </row>
    <row r="124" spans="1:9" x14ac:dyDescent="0.35">
      <c r="B124" s="371" t="s">
        <v>53</v>
      </c>
      <c r="C124" s="178">
        <f>C115*3.67</f>
        <v>0</v>
      </c>
      <c r="D124" s="178">
        <f t="shared" ref="D124:F124" si="37">D115*3.67</f>
        <v>0</v>
      </c>
      <c r="E124" s="178">
        <f t="shared" si="37"/>
        <v>0</v>
      </c>
      <c r="F124" s="178">
        <f t="shared" si="37"/>
        <v>0</v>
      </c>
      <c r="G124" s="372">
        <f>SUM(C124:F124)</f>
        <v>0</v>
      </c>
    </row>
    <row r="125" spans="1:9" x14ac:dyDescent="0.35">
      <c r="B125" s="371" t="s">
        <v>54</v>
      </c>
      <c r="C125" s="178">
        <f t="shared" ref="C125:F125" si="38">C116*3.67</f>
        <v>0</v>
      </c>
      <c r="D125" s="178">
        <f t="shared" si="38"/>
        <v>0</v>
      </c>
      <c r="E125" s="178">
        <f t="shared" si="38"/>
        <v>0</v>
      </c>
      <c r="F125" s="178">
        <f t="shared" si="38"/>
        <v>0</v>
      </c>
      <c r="G125" s="372">
        <f t="shared" ref="G125:G127" si="39">SUM(C125:F125)</f>
        <v>0</v>
      </c>
    </row>
    <row r="126" spans="1:9" x14ac:dyDescent="0.35">
      <c r="B126" s="371" t="s">
        <v>55</v>
      </c>
      <c r="C126" s="178">
        <f t="shared" ref="C126:F126" si="40">C117*3.67</f>
        <v>0</v>
      </c>
      <c r="D126" s="178">
        <f t="shared" si="40"/>
        <v>0</v>
      </c>
      <c r="E126" s="178">
        <f t="shared" si="40"/>
        <v>0</v>
      </c>
      <c r="F126" s="178">
        <f t="shared" si="40"/>
        <v>0</v>
      </c>
      <c r="G126" s="372">
        <f t="shared" si="39"/>
        <v>0</v>
      </c>
    </row>
    <row r="127" spans="1:9" x14ac:dyDescent="0.35">
      <c r="B127" s="371" t="s">
        <v>50</v>
      </c>
      <c r="C127" s="178">
        <f t="shared" ref="C127:F127" si="41">C118*3.67</f>
        <v>0</v>
      </c>
      <c r="D127" s="178">
        <f t="shared" si="41"/>
        <v>0</v>
      </c>
      <c r="E127" s="178">
        <f t="shared" si="41"/>
        <v>0</v>
      </c>
      <c r="F127" s="178">
        <f t="shared" si="41"/>
        <v>0</v>
      </c>
      <c r="G127" s="372">
        <f t="shared" si="39"/>
        <v>0</v>
      </c>
    </row>
    <row r="128" spans="1:9" x14ac:dyDescent="0.35">
      <c r="B128" s="57" t="s">
        <v>77</v>
      </c>
      <c r="C128" s="373">
        <f>SUM(C124:C127)</f>
        <v>0</v>
      </c>
      <c r="D128" s="373">
        <f t="shared" ref="D128" si="42">SUM(D124:D127)</f>
        <v>0</v>
      </c>
      <c r="E128" s="373">
        <f t="shared" ref="E128" si="43">SUM(E124:E127)</f>
        <v>0</v>
      </c>
      <c r="F128" s="373">
        <f t="shared" ref="F128" si="44">SUM(F124:F127)</f>
        <v>0</v>
      </c>
      <c r="G128" s="373">
        <f t="shared" ref="G128" si="45">SUM(G124:G127)</f>
        <v>0</v>
      </c>
    </row>
    <row r="129" spans="1:7" x14ac:dyDescent="0.35">
      <c r="B129" s="57"/>
      <c r="C129" s="75"/>
      <c r="D129" s="75"/>
      <c r="E129" s="75"/>
      <c r="F129" s="75"/>
      <c r="G129" s="75"/>
    </row>
    <row r="130" spans="1:7" x14ac:dyDescent="0.35">
      <c r="A130" s="2" t="s">
        <v>381</v>
      </c>
      <c r="B130" s="57"/>
      <c r="C130" s="75"/>
      <c r="D130" s="75"/>
      <c r="E130" s="75"/>
      <c r="F130" s="75"/>
      <c r="G130" s="75"/>
    </row>
    <row r="131" spans="1:7" ht="16.5" x14ac:dyDescent="0.45">
      <c r="C131" s="2" t="s">
        <v>179</v>
      </c>
    </row>
    <row r="132" spans="1:7" x14ac:dyDescent="0.35">
      <c r="B132" s="11"/>
      <c r="C132" s="247" t="s">
        <v>141</v>
      </c>
      <c r="D132" s="247" t="s">
        <v>259</v>
      </c>
      <c r="E132" s="247" t="s">
        <v>261</v>
      </c>
      <c r="F132" s="247" t="s">
        <v>143</v>
      </c>
      <c r="G132" s="247" t="s">
        <v>77</v>
      </c>
    </row>
    <row r="133" spans="1:7" x14ac:dyDescent="0.35">
      <c r="B133" s="371" t="s">
        <v>53</v>
      </c>
      <c r="C133" s="113">
        <f>C124/(Intro!$B$23-Intro!$B$22)</f>
        <v>0</v>
      </c>
      <c r="D133" s="178">
        <f>D124/(Intro!$B$23-Intro!$B$22)</f>
        <v>0</v>
      </c>
      <c r="E133" s="178">
        <f>E124/(Intro!$B$23-Intro!$B$22)</f>
        <v>0</v>
      </c>
      <c r="F133" s="178">
        <f>F124/(Intro!$B$23-Intro!$B$22)</f>
        <v>0</v>
      </c>
      <c r="G133" s="372">
        <f>SUM(C133:F133)</f>
        <v>0</v>
      </c>
    </row>
    <row r="134" spans="1:7" x14ac:dyDescent="0.35">
      <c r="B134" s="371" t="s">
        <v>54</v>
      </c>
      <c r="C134" s="178">
        <f>C125/(Intro!$B$23-Intro!$B$22)</f>
        <v>0</v>
      </c>
      <c r="D134" s="178">
        <f>D125/(Intro!$B$23-Intro!$B$22)</f>
        <v>0</v>
      </c>
      <c r="E134" s="178">
        <f>E125/(Intro!$B$23-Intro!$B$22)</f>
        <v>0</v>
      </c>
      <c r="F134" s="178">
        <f>F125/(Intro!$B$23-Intro!$B$22)</f>
        <v>0</v>
      </c>
      <c r="G134" s="372">
        <f t="shared" ref="G134:G136" si="46">SUM(C134:F134)</f>
        <v>0</v>
      </c>
    </row>
    <row r="135" spans="1:7" x14ac:dyDescent="0.35">
      <c r="B135" s="371" t="s">
        <v>55</v>
      </c>
      <c r="C135" s="178">
        <f>C126/(Intro!$B$23-Intro!$B$22)</f>
        <v>0</v>
      </c>
      <c r="D135" s="178">
        <f>D126/(Intro!$B$23-Intro!$B$22)</f>
        <v>0</v>
      </c>
      <c r="E135" s="178">
        <f>E126/(Intro!$B$23-Intro!$B$22)</f>
        <v>0</v>
      </c>
      <c r="F135" s="178">
        <f>F126/(Intro!$B$23-Intro!$B$22)</f>
        <v>0</v>
      </c>
      <c r="G135" s="372">
        <f t="shared" si="46"/>
        <v>0</v>
      </c>
    </row>
    <row r="136" spans="1:7" x14ac:dyDescent="0.35">
      <c r="B136" s="371" t="s">
        <v>50</v>
      </c>
      <c r="C136" s="178">
        <f>C127/(Intro!$B$23-Intro!$B$22)</f>
        <v>0</v>
      </c>
      <c r="D136" s="178">
        <f>D127/(Intro!$B$23-Intro!$B$22)</f>
        <v>0</v>
      </c>
      <c r="E136" s="178">
        <f>E127/(Intro!$B$23-Intro!$B$22)</f>
        <v>0</v>
      </c>
      <c r="F136" s="178">
        <f>F127/(Intro!$B$23-Intro!$B$22)</f>
        <v>0</v>
      </c>
      <c r="G136" s="372">
        <f t="shared" si="46"/>
        <v>0</v>
      </c>
    </row>
    <row r="137" spans="1:7" x14ac:dyDescent="0.35">
      <c r="B137" s="57" t="s">
        <v>77</v>
      </c>
      <c r="C137" s="373">
        <f>SUM(C133:C136)</f>
        <v>0</v>
      </c>
      <c r="D137" s="373">
        <f t="shared" ref="D137" si="47">SUM(D133:D136)</f>
        <v>0</v>
      </c>
      <c r="E137" s="373">
        <f t="shared" ref="E137" si="48">SUM(E133:E136)</f>
        <v>0</v>
      </c>
      <c r="F137" s="373">
        <f t="shared" ref="F137" si="49">SUM(F133:F136)</f>
        <v>0</v>
      </c>
      <c r="G137" s="580">
        <f t="shared" ref="G137" si="50">SUM(G133:G136)</f>
        <v>0</v>
      </c>
    </row>
    <row r="138" spans="1:7" x14ac:dyDescent="0.35">
      <c r="B138" s="57"/>
      <c r="C138" s="75"/>
      <c r="D138" s="75"/>
      <c r="E138" s="75"/>
      <c r="F138" s="75"/>
      <c r="G138" s="7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6FD03-F101-4F78-9FFE-2C92F5B975AA}">
  <dimension ref="A1:Q67"/>
  <sheetViews>
    <sheetView workbookViewId="0">
      <selection activeCell="C11" sqref="C11"/>
    </sheetView>
  </sheetViews>
  <sheetFormatPr defaultRowHeight="14.5" x14ac:dyDescent="0.35"/>
  <cols>
    <col min="1" max="7" width="12.54296875" customWidth="1"/>
    <col min="8" max="8" width="12.54296875" style="269" customWidth="1"/>
    <col min="9" max="9" width="9.1796875" style="142"/>
    <col min="10" max="10" width="13.453125" customWidth="1"/>
  </cols>
  <sheetData>
    <row r="1" spans="1:13" ht="18.5" x14ac:dyDescent="0.45">
      <c r="A1" s="1" t="s">
        <v>248</v>
      </c>
      <c r="B1" s="1"/>
    </row>
    <row r="2" spans="1:13" x14ac:dyDescent="0.35">
      <c r="A2" s="265" t="s">
        <v>245</v>
      </c>
    </row>
    <row r="3" spans="1:13" x14ac:dyDescent="0.35">
      <c r="A3" s="265"/>
      <c r="I3" s="472"/>
    </row>
    <row r="4" spans="1:13" x14ac:dyDescent="0.35">
      <c r="A4" s="185" t="s">
        <v>397</v>
      </c>
      <c r="I4" s="472"/>
    </row>
    <row r="5" spans="1:13" x14ac:dyDescent="0.35">
      <c r="A5" s="483" t="s">
        <v>414</v>
      </c>
      <c r="I5" s="245"/>
    </row>
    <row r="7" spans="1:13" x14ac:dyDescent="0.35">
      <c r="A7" s="6" t="s">
        <v>415</v>
      </c>
    </row>
    <row r="8" spans="1:13" x14ac:dyDescent="0.35">
      <c r="A8" s="130" t="s">
        <v>386</v>
      </c>
    </row>
    <row r="9" spans="1:13" x14ac:dyDescent="0.35">
      <c r="A9" s="11"/>
      <c r="B9" s="16" t="s">
        <v>4</v>
      </c>
      <c r="C9" s="252" t="s">
        <v>6</v>
      </c>
      <c r="D9" s="257" t="s">
        <v>5</v>
      </c>
      <c r="E9" s="18" t="s">
        <v>50</v>
      </c>
      <c r="F9" s="19" t="s">
        <v>51</v>
      </c>
      <c r="G9" s="20" t="s">
        <v>52</v>
      </c>
      <c r="H9" s="270" t="s">
        <v>92</v>
      </c>
      <c r="I9"/>
      <c r="M9" s="11"/>
    </row>
    <row r="10" spans="1:13" x14ac:dyDescent="0.35">
      <c r="A10" s="16" t="s">
        <v>4</v>
      </c>
      <c r="B10" s="271"/>
      <c r="C10" s="272"/>
      <c r="D10" s="271"/>
      <c r="E10" s="273"/>
      <c r="F10" s="271"/>
      <c r="G10" s="272"/>
      <c r="H10" s="272"/>
      <c r="I10"/>
      <c r="K10" s="2"/>
      <c r="L10" s="11"/>
      <c r="M10" s="11"/>
    </row>
    <row r="11" spans="1:13" x14ac:dyDescent="0.35">
      <c r="A11" s="252" t="s">
        <v>6</v>
      </c>
      <c r="B11" s="272"/>
      <c r="C11" s="113">
        <f>'2b. TOF AD'!C80</f>
        <v>4812.0137000000013</v>
      </c>
      <c r="D11" s="113">
        <f>'2b. TOF AD'!D80</f>
        <v>40.695400000000006</v>
      </c>
      <c r="E11" s="114">
        <f>'2b. TOF AD'!E80</f>
        <v>0.4022</v>
      </c>
      <c r="F11" s="125">
        <f>'2b. TOF AD'!F80</f>
        <v>23.346100000000007</v>
      </c>
      <c r="G11" s="125">
        <f>'2b. TOF AD'!G80</f>
        <v>0.3075</v>
      </c>
      <c r="H11" s="122">
        <f>SUM(C11:G11)</f>
        <v>4876.764900000001</v>
      </c>
      <c r="I11"/>
    </row>
    <row r="12" spans="1:13" x14ac:dyDescent="0.35">
      <c r="A12" s="254" t="s">
        <v>5</v>
      </c>
      <c r="B12" s="271"/>
      <c r="C12" s="113">
        <f>'2b. TOF AD'!C81</f>
        <v>0.43280000000000002</v>
      </c>
      <c r="D12" s="113">
        <f>'2b. TOF AD'!D81</f>
        <v>840.37210000000005</v>
      </c>
      <c r="E12" s="114">
        <f>'2b. TOF AD'!E81</f>
        <v>0.1865</v>
      </c>
      <c r="F12" s="113">
        <f>'2b. TOF AD'!F81</f>
        <v>3.9656000000000002</v>
      </c>
      <c r="G12" s="125">
        <f>'2b. TOF AD'!G81</f>
        <v>9.4300000000000009E-2</v>
      </c>
      <c r="H12" s="122">
        <f>SUM(C12:G12)</f>
        <v>845.05130000000008</v>
      </c>
      <c r="I12"/>
    </row>
    <row r="13" spans="1:13" x14ac:dyDescent="0.35">
      <c r="A13" s="18" t="s">
        <v>50</v>
      </c>
      <c r="B13" s="272"/>
      <c r="C13" s="125">
        <f>'2b. TOF AD'!C82</f>
        <v>0.89270000000000016</v>
      </c>
      <c r="D13" s="125">
        <f>'2b. TOF AD'!D82</f>
        <v>0</v>
      </c>
      <c r="E13" s="114">
        <f>'2b. TOF AD'!E82</f>
        <v>323.60180000000003</v>
      </c>
      <c r="F13" s="125">
        <f>'2b. TOF AD'!F82</f>
        <v>0.27020000000000005</v>
      </c>
      <c r="G13" s="113">
        <f>'2b. TOF AD'!G82</f>
        <v>4.9399999999999999E-2</v>
      </c>
      <c r="H13" s="122">
        <f>SUM(C13:G13)</f>
        <v>324.8141</v>
      </c>
      <c r="I13"/>
    </row>
    <row r="14" spans="1:13" x14ac:dyDescent="0.35">
      <c r="A14" s="19" t="s">
        <v>51</v>
      </c>
      <c r="B14" s="272"/>
      <c r="C14" s="125">
        <f>'2b. TOF AD'!C83</f>
        <v>0</v>
      </c>
      <c r="D14" s="125">
        <f>'2b. TOF AD'!D83</f>
        <v>0</v>
      </c>
      <c r="E14" s="126">
        <f>'2b. TOF AD'!E83</f>
        <v>0</v>
      </c>
      <c r="F14" s="113">
        <f>'2b. TOF AD'!F83</f>
        <v>23489.7523</v>
      </c>
      <c r="G14" s="125">
        <f>'2b. TOF AD'!G83</f>
        <v>0</v>
      </c>
      <c r="H14" s="122">
        <f>SUM(C14:G14)</f>
        <v>23489.7523</v>
      </c>
      <c r="I14"/>
    </row>
    <row r="15" spans="1:13" x14ac:dyDescent="0.35">
      <c r="A15" s="20" t="s">
        <v>52</v>
      </c>
      <c r="B15" s="271"/>
      <c r="C15" s="125">
        <f>'2b. TOF AD'!C84</f>
        <v>0</v>
      </c>
      <c r="D15" s="113">
        <f>'2b. TOF AD'!D84</f>
        <v>0</v>
      </c>
      <c r="E15" s="114">
        <f>'2b. TOF AD'!E84</f>
        <v>2.5000000000000001E-2</v>
      </c>
      <c r="F15" s="125">
        <f>'2b. TOF AD'!F84</f>
        <v>0.47420000000000001</v>
      </c>
      <c r="G15" s="113">
        <f>'2b. TOF AD'!G84</f>
        <v>26.068000000000001</v>
      </c>
      <c r="H15" s="122">
        <f>SUM(C15:G15)</f>
        <v>26.5672</v>
      </c>
      <c r="I15"/>
    </row>
    <row r="16" spans="1:13" x14ac:dyDescent="0.35">
      <c r="A16" s="124" t="s">
        <v>92</v>
      </c>
      <c r="B16" s="271"/>
      <c r="C16" s="122">
        <f t="shared" ref="C16:H16" si="0">SUM(C11:C15)</f>
        <v>4813.3392000000013</v>
      </c>
      <c r="D16" s="122">
        <f t="shared" si="0"/>
        <v>881.06750000000011</v>
      </c>
      <c r="E16" s="122">
        <f t="shared" si="0"/>
        <v>324.21550000000002</v>
      </c>
      <c r="F16" s="122">
        <f t="shared" si="0"/>
        <v>23517.808400000002</v>
      </c>
      <c r="G16" s="122">
        <f t="shared" si="0"/>
        <v>26.519200000000001</v>
      </c>
      <c r="H16" s="122">
        <f t="shared" si="0"/>
        <v>29562.949800000002</v>
      </c>
      <c r="I16"/>
    </row>
    <row r="17" spans="1:17" x14ac:dyDescent="0.35">
      <c r="A17" s="166"/>
      <c r="B17" s="167"/>
      <c r="C17" s="80"/>
      <c r="D17" s="80"/>
      <c r="E17" s="80"/>
      <c r="F17" s="80"/>
      <c r="G17" s="117"/>
      <c r="H17" s="168"/>
      <c r="I17"/>
    </row>
    <row r="18" spans="1:17" x14ac:dyDescent="0.35">
      <c r="A18" s="166"/>
      <c r="B18" s="167"/>
      <c r="C18" s="80"/>
      <c r="D18" s="80"/>
      <c r="E18" s="80"/>
      <c r="F18" s="80"/>
      <c r="G18" s="117"/>
      <c r="H18" s="168"/>
    </row>
    <row r="19" spans="1:17" x14ac:dyDescent="0.35">
      <c r="A19" s="6" t="s">
        <v>416</v>
      </c>
    </row>
    <row r="20" spans="1:17" x14ac:dyDescent="0.35">
      <c r="A20" s="130" t="s">
        <v>387</v>
      </c>
    </row>
    <row r="21" spans="1:17" x14ac:dyDescent="0.35">
      <c r="A21" s="11"/>
      <c r="B21" s="16" t="s">
        <v>4</v>
      </c>
      <c r="C21" s="252" t="s">
        <v>6</v>
      </c>
      <c r="D21" s="257" t="s">
        <v>5</v>
      </c>
      <c r="E21" s="18" t="s">
        <v>50</v>
      </c>
      <c r="F21" s="19" t="s">
        <v>51</v>
      </c>
      <c r="G21" s="20" t="s">
        <v>52</v>
      </c>
      <c r="H21" s="270" t="s">
        <v>92</v>
      </c>
      <c r="I21"/>
      <c r="M21" s="11"/>
    </row>
    <row r="22" spans="1:17" x14ac:dyDescent="0.35">
      <c r="A22" s="16" t="s">
        <v>4</v>
      </c>
      <c r="B22" s="271"/>
      <c r="C22" s="272"/>
      <c r="D22" s="271"/>
      <c r="E22" s="273"/>
      <c r="F22" s="271"/>
      <c r="G22" s="272"/>
      <c r="H22" s="272"/>
      <c r="I22"/>
      <c r="K22" s="2"/>
      <c r="L22" s="11"/>
      <c r="M22" s="11"/>
    </row>
    <row r="23" spans="1:17" x14ac:dyDescent="0.35">
      <c r="A23" s="252" t="s">
        <v>6</v>
      </c>
      <c r="B23" s="272"/>
      <c r="C23" s="113">
        <f>'2b. TOF AD'!C119</f>
        <v>220.68630000000002</v>
      </c>
      <c r="D23" s="113">
        <f>'2b. TOF AD'!D119</f>
        <v>1.2397000000000002</v>
      </c>
      <c r="E23" s="114">
        <f>'2b. TOF AD'!E119</f>
        <v>7.3000000000000009E-3</v>
      </c>
      <c r="F23" s="125">
        <f>'2b. TOF AD'!F119</f>
        <v>54.284800000000004</v>
      </c>
      <c r="G23" s="125">
        <f>'2b. TOF AD'!G119</f>
        <v>2.8500000000000001E-2</v>
      </c>
      <c r="H23" s="122">
        <f>SUM(C23:G23)</f>
        <v>276.2466</v>
      </c>
      <c r="I23"/>
    </row>
    <row r="24" spans="1:17" x14ac:dyDescent="0.35">
      <c r="A24" s="254" t="s">
        <v>5</v>
      </c>
      <c r="B24" s="271"/>
      <c r="C24" s="113">
        <f>'2b. TOF AD'!C120</f>
        <v>1.6000000000000001E-3</v>
      </c>
      <c r="D24" s="113">
        <f>'2b. TOF AD'!D120</f>
        <v>28.810400000000001</v>
      </c>
      <c r="E24" s="114">
        <f>'2b. TOF AD'!E120</f>
        <v>2.1000000000000003E-3</v>
      </c>
      <c r="F24" s="113">
        <f>'2b. TOF AD'!F120</f>
        <v>6.3552999999999997</v>
      </c>
      <c r="G24" s="125">
        <f>'2b. TOF AD'!G120</f>
        <v>9.0000000000000008E-4</v>
      </c>
      <c r="H24" s="122">
        <f>SUM(C24:G24)</f>
        <v>35.170299999999997</v>
      </c>
      <c r="I24"/>
    </row>
    <row r="25" spans="1:17" x14ac:dyDescent="0.35">
      <c r="A25" s="18" t="s">
        <v>50</v>
      </c>
      <c r="B25" s="272"/>
      <c r="C25" s="125">
        <f>'2b. TOF AD'!C121</f>
        <v>5.0900000000000001E-2</v>
      </c>
      <c r="D25" s="125">
        <f>'2b. TOF AD'!D121</f>
        <v>0</v>
      </c>
      <c r="E25" s="114">
        <f>'2b. TOF AD'!E121</f>
        <v>21.957999999999998</v>
      </c>
      <c r="F25" s="125">
        <f>'2b. TOF AD'!F121</f>
        <v>0.97340000000000004</v>
      </c>
      <c r="G25" s="113">
        <f>'2b. TOF AD'!G121</f>
        <v>4.0000000000000002E-4</v>
      </c>
      <c r="H25" s="122">
        <f>SUM(C25:G25)</f>
        <v>22.982699999999998</v>
      </c>
      <c r="I25"/>
    </row>
    <row r="26" spans="1:17" x14ac:dyDescent="0.35">
      <c r="A26" s="19" t="s">
        <v>51</v>
      </c>
      <c r="B26" s="272"/>
      <c r="C26" s="125">
        <f>'2b. TOF AD'!C122</f>
        <v>0</v>
      </c>
      <c r="D26" s="125">
        <f>'2b. TOF AD'!D122</f>
        <v>0</v>
      </c>
      <c r="E26" s="126">
        <f>'2b. TOF AD'!E122</f>
        <v>0</v>
      </c>
      <c r="F26" s="113">
        <f>'2b. TOF AD'!F122</f>
        <v>1460.8146045444728</v>
      </c>
      <c r="G26" s="125">
        <f>'2b. TOF AD'!G122</f>
        <v>0</v>
      </c>
      <c r="H26" s="122">
        <f>SUM(C26:G26)</f>
        <v>1460.8146045444728</v>
      </c>
      <c r="I26"/>
    </row>
    <row r="27" spans="1:17" x14ac:dyDescent="0.35">
      <c r="A27" s="20" t="s">
        <v>52</v>
      </c>
      <c r="B27" s="271"/>
      <c r="C27" s="125">
        <f>'2b. TOF AD'!C123</f>
        <v>0</v>
      </c>
      <c r="D27" s="113">
        <f>'2b. TOF AD'!D123</f>
        <v>0</v>
      </c>
      <c r="E27" s="114">
        <f>'2b. TOF AD'!E123</f>
        <v>3.0000000000000003E-4</v>
      </c>
      <c r="F27" s="125">
        <f>'2b. TOF AD'!F123</f>
        <v>0.89300000000000002</v>
      </c>
      <c r="G27" s="113">
        <f>'2b. TOF AD'!G123</f>
        <v>1.6375000000000002</v>
      </c>
      <c r="H27" s="122">
        <f>SUM(C27:G27)</f>
        <v>2.5308000000000002</v>
      </c>
      <c r="I27"/>
    </row>
    <row r="28" spans="1:17" x14ac:dyDescent="0.35">
      <c r="A28" s="124" t="s">
        <v>92</v>
      </c>
      <c r="B28" s="271"/>
      <c r="C28" s="122">
        <f t="shared" ref="C28:H28" si="1">SUM(C23:C27)</f>
        <v>220.73880000000003</v>
      </c>
      <c r="D28" s="122">
        <f t="shared" si="1"/>
        <v>30.0501</v>
      </c>
      <c r="E28" s="122">
        <f t="shared" si="1"/>
        <v>21.967699999999997</v>
      </c>
      <c r="F28" s="122">
        <f t="shared" si="1"/>
        <v>1523.3211045444727</v>
      </c>
      <c r="G28" s="122">
        <f t="shared" si="1"/>
        <v>1.6673000000000002</v>
      </c>
      <c r="H28" s="122">
        <f t="shared" si="1"/>
        <v>1797.7450045444727</v>
      </c>
      <c r="I28"/>
    </row>
    <row r="29" spans="1:17" x14ac:dyDescent="0.35">
      <c r="A29" s="166"/>
      <c r="B29" s="167"/>
      <c r="C29" s="80"/>
      <c r="D29" s="80"/>
      <c r="E29" s="80"/>
      <c r="F29" s="80"/>
      <c r="G29" s="117"/>
      <c r="H29" s="168"/>
      <c r="I29"/>
    </row>
    <row r="30" spans="1:17" x14ac:dyDescent="0.35">
      <c r="A30" s="166"/>
      <c r="B30" s="167"/>
      <c r="C30" s="80"/>
      <c r="D30" s="80"/>
      <c r="E30" s="80"/>
      <c r="F30" s="80"/>
      <c r="G30" s="117"/>
      <c r="H30" s="168"/>
      <c r="I30"/>
    </row>
    <row r="31" spans="1:17" x14ac:dyDescent="0.35">
      <c r="A31" s="2" t="s">
        <v>417</v>
      </c>
      <c r="J31" s="2" t="s">
        <v>574</v>
      </c>
      <c r="Q31" s="269"/>
    </row>
    <row r="32" spans="1:17" x14ac:dyDescent="0.35">
      <c r="A32" s="267" t="s">
        <v>199</v>
      </c>
      <c r="J32" s="267" t="s">
        <v>575</v>
      </c>
      <c r="Q32" s="269"/>
    </row>
    <row r="33" spans="1:17" x14ac:dyDescent="0.35">
      <c r="C33" s="2" t="s">
        <v>177</v>
      </c>
      <c r="L33" s="2" t="s">
        <v>177</v>
      </c>
      <c r="Q33" s="269"/>
    </row>
    <row r="34" spans="1:17" x14ac:dyDescent="0.35">
      <c r="A34" s="11"/>
      <c r="B34" s="16" t="s">
        <v>4</v>
      </c>
      <c r="C34" s="252" t="s">
        <v>6</v>
      </c>
      <c r="D34" s="257" t="s">
        <v>5</v>
      </c>
      <c r="E34" s="18" t="s">
        <v>50</v>
      </c>
      <c r="F34" s="19" t="s">
        <v>51</v>
      </c>
      <c r="G34" s="20" t="s">
        <v>52</v>
      </c>
      <c r="H34" s="270" t="s">
        <v>246</v>
      </c>
      <c r="J34" s="11"/>
      <c r="K34" s="16" t="s">
        <v>4</v>
      </c>
      <c r="L34" s="252" t="s">
        <v>6</v>
      </c>
      <c r="M34" s="257" t="s">
        <v>5</v>
      </c>
      <c r="N34" s="18" t="s">
        <v>50</v>
      </c>
      <c r="O34" s="19" t="s">
        <v>51</v>
      </c>
      <c r="P34" s="20" t="s">
        <v>52</v>
      </c>
      <c r="Q34" s="270" t="s">
        <v>246</v>
      </c>
    </row>
    <row r="35" spans="1:17" x14ac:dyDescent="0.35">
      <c r="A35" s="16" t="s">
        <v>4</v>
      </c>
      <c r="B35" s="271"/>
      <c r="C35" s="272"/>
      <c r="D35" s="271"/>
      <c r="E35" s="273"/>
      <c r="F35" s="271"/>
      <c r="G35" s="272"/>
      <c r="H35" s="272"/>
      <c r="J35" s="16" t="s">
        <v>4</v>
      </c>
      <c r="K35" s="271"/>
      <c r="L35" s="272"/>
      <c r="M35" s="271"/>
      <c r="N35" s="273"/>
      <c r="O35" s="271"/>
      <c r="P35" s="272"/>
      <c r="Q35" s="272"/>
    </row>
    <row r="36" spans="1:17" x14ac:dyDescent="0.35">
      <c r="A36" s="252" t="s">
        <v>6</v>
      </c>
      <c r="B36" s="272"/>
      <c r="C36" s="217">
        <f>'2b. TOF AD'!C80*'3b. TOF EF_RF'!C16*(Intro!$B$23-Intro!$B$22)+'2b. TOF AD'!C119*'3b. TOF EF_RF'!C28</f>
        <v>-62201.352905000029</v>
      </c>
      <c r="D36" s="217">
        <f>'2b. TOF AD'!D80*'3b. TOF EF_RF'!D16*(Intro!$B$23-Intro!$B$22)+'2b. TOF AD'!D119*'3b. TOF EF_RF'!D28</f>
        <v>-590.58470999999997</v>
      </c>
      <c r="E36" s="217">
        <f>'2b. TOF AD'!E80*'3b. TOF EF_RF'!E16*(Intro!$B$23-Intro!$B$22)+'2b. TOF AD'!E119*'3b. TOF EF_RF'!E28</f>
        <v>-6.3469299999999995</v>
      </c>
      <c r="F36" s="217">
        <f>'2b. TOF AD'!F80*'3b. TOF EF_RF'!F16*(Intro!$B$23-Intro!$B$22)+'2b. TOF AD'!F119*'3b. TOF EF_RF'!F28</f>
        <v>5179.2757350000002</v>
      </c>
      <c r="G36" s="217">
        <f>'2b. TOF AD'!G80*'3b. TOF EF_RF'!G16*(Intro!$B$23-Intro!$B$22)+'2b. TOF AD'!G119*'3b. TOF EF_RF'!G28</f>
        <v>-2.4918749999999994</v>
      </c>
      <c r="H36" s="218">
        <f>SUM(C36:G36)</f>
        <v>-57621.500685000028</v>
      </c>
      <c r="J36" s="252" t="s">
        <v>6</v>
      </c>
      <c r="K36" s="272"/>
      <c r="L36" s="217">
        <f>'2b. TOF AD'!C119*'3b. TOF EF_RF'!C28</f>
        <v>22730.688900000001</v>
      </c>
      <c r="M36" s="217">
        <f>'2b. TOF AD'!D119*'3b. TOF EF_RF'!D28</f>
        <v>127.68910000000002</v>
      </c>
      <c r="N36" s="217">
        <f>'2b. TOF AD'!E119*'3b. TOF EF_RF'!E28</f>
        <v>0.75190000000000012</v>
      </c>
      <c r="O36" s="217">
        <f>'2b. TOF AD'!F119*'3b. TOF EF_RF'!F28</f>
        <v>5591.3344000000006</v>
      </c>
      <c r="P36" s="217">
        <f>'2b. TOF AD'!G119*'3b. TOF EF_RF'!G28</f>
        <v>2.9355000000000002</v>
      </c>
      <c r="Q36" s="218">
        <f>SUM(L36:P36)</f>
        <v>28453.399799999999</v>
      </c>
    </row>
    <row r="37" spans="1:17" x14ac:dyDescent="0.35">
      <c r="A37" s="254" t="s">
        <v>5</v>
      </c>
      <c r="B37" s="271"/>
      <c r="C37" s="217">
        <f>'2b. TOF AD'!C81*'3b. TOF EF_RF'!C17*(Intro!$B$23-Intro!$B$22)+'2b. TOF AD'!C120*'3b. TOF EF_RF'!C29</f>
        <v>-7.474120000000001</v>
      </c>
      <c r="D37" s="217">
        <f>'2b. TOF AD'!D81*'3b. TOF EF_RF'!D17*(Intro!$B$23-Intro!$B$22)+'2b. TOF AD'!D120*'3b. TOF EF_RF'!D29</f>
        <v>-11865.096364999999</v>
      </c>
      <c r="E37" s="217">
        <f>'2b. TOF AD'!E81*'3b. TOF EF_RF'!E17*(Intro!$B$23-Intro!$B$22)+'2b. TOF AD'!E120*'3b. TOF EF_RF'!E29</f>
        <v>-3.0754249999999996</v>
      </c>
      <c r="F37" s="217">
        <f>'2b. TOF AD'!F81*'3b. TOF EF_RF'!F17*(Intro!$B$23-Intro!$B$22)+'2b. TOF AD'!F120*'3b. TOF EF_RF'!F29</f>
        <v>584.60306000000003</v>
      </c>
      <c r="G37" s="217">
        <f>'2b. TOF AD'!G81*'3b. TOF EF_RF'!G17*(Intro!$B$23-Intro!$B$22)+'2b. TOF AD'!G120*'3b. TOF EF_RF'!G29</f>
        <v>-1.5716950000000003</v>
      </c>
      <c r="H37" s="218">
        <f>SUM(C37:G37)</f>
        <v>-11292.614545000002</v>
      </c>
      <c r="J37" s="254" t="s">
        <v>5</v>
      </c>
      <c r="K37" s="271"/>
      <c r="L37" s="217">
        <f>'2b. TOF AD'!C120*'3b. TOF EF_RF'!C29</f>
        <v>0.1648</v>
      </c>
      <c r="M37" s="217">
        <f>'2b. TOF AD'!D120*'3b. TOF EF_RF'!D29</f>
        <v>2967.4712</v>
      </c>
      <c r="N37" s="217">
        <f>'2b. TOF AD'!E120*'3b. TOF EF_RF'!E29</f>
        <v>0.21630000000000002</v>
      </c>
      <c r="O37" s="217">
        <f>'2b. TOF AD'!F120*'3b. TOF EF_RF'!F29</f>
        <v>654.59590000000003</v>
      </c>
      <c r="P37" s="217">
        <f>'2b. TOF AD'!G120*'3b. TOF EF_RF'!G29</f>
        <v>9.2700000000000005E-2</v>
      </c>
      <c r="Q37" s="218">
        <f>SUM(L37:P37)</f>
        <v>3622.5409</v>
      </c>
    </row>
    <row r="38" spans="1:17" x14ac:dyDescent="0.35">
      <c r="A38" s="18" t="s">
        <v>50</v>
      </c>
      <c r="B38" s="272"/>
      <c r="C38" s="217">
        <f>'2b. TOF AD'!C82*'3b. TOF EF_RF'!C18*(Intro!$B$23-Intro!$B$22)+'2b. TOF AD'!C121*'3b. TOF EF_RF'!C30</f>
        <v>-10.513455000000004</v>
      </c>
      <c r="D38" s="217">
        <f>'2b. TOF AD'!D82*'3b. TOF EF_RF'!D18*(Intro!$B$23-Intro!$B$22)+'2b. TOF AD'!D121*'3b. TOF EF_RF'!D30</f>
        <v>0</v>
      </c>
      <c r="E38" s="217">
        <f>'2b. TOF AD'!E82*'3b. TOF EF_RF'!E18*(Intro!$B$23-Intro!$B$22)+'2b. TOF AD'!E121*'3b. TOF EF_RF'!E30</f>
        <v>-3449.8977700000005</v>
      </c>
      <c r="F38" s="217">
        <f>'2b. TOF AD'!F82*'3b. TOF EF_RF'!F18*(Intro!$B$23-Intro!$B$22)+'2b. TOF AD'!F121*'3b. TOF EF_RF'!F30</f>
        <v>95.491169999999997</v>
      </c>
      <c r="G38" s="217">
        <f>'2b. TOF AD'!G82*'3b. TOF EF_RF'!G18*(Intro!$B$23-Intro!$B$22)+'2b. TOF AD'!G121*'3b. TOF EF_RF'!G30</f>
        <v>-0.83070999999999995</v>
      </c>
      <c r="H38" s="218">
        <f>SUM(C38:G38)</f>
        <v>-3365.7507650000007</v>
      </c>
      <c r="J38" s="18" t="s">
        <v>50</v>
      </c>
      <c r="K38" s="272"/>
      <c r="L38" s="217">
        <f>'2b. TOF AD'!C121*'3b. TOF EF_RF'!C30</f>
        <v>5.2427000000000001</v>
      </c>
      <c r="M38" s="217">
        <f>'2b. TOF AD'!D121*'3b. TOF EF_RF'!D30</f>
        <v>0</v>
      </c>
      <c r="N38" s="217">
        <f>'2b. TOF AD'!E121*'3b. TOF EF_RF'!E30</f>
        <v>2261.674</v>
      </c>
      <c r="O38" s="217">
        <f>'2b. TOF AD'!F121*'3b. TOF EF_RF'!F30</f>
        <v>100.2602</v>
      </c>
      <c r="P38" s="217">
        <f>'2b. TOF AD'!G121*'3b. TOF EF_RF'!G30</f>
        <v>4.1200000000000001E-2</v>
      </c>
      <c r="Q38" s="218">
        <f>SUM(L38:P38)</f>
        <v>2367.2181</v>
      </c>
    </row>
    <row r="39" spans="1:17" x14ac:dyDescent="0.35">
      <c r="A39" s="19" t="s">
        <v>51</v>
      </c>
      <c r="B39" s="272"/>
      <c r="C39" s="217">
        <f>'2b. TOF AD'!C83*'3b. TOF EF_RF'!C19*(Intro!$B$23-Intro!$B$22)+'2b. TOF AD'!C122*'3b. TOF EF_RF'!C31</f>
        <v>0</v>
      </c>
      <c r="D39" s="217">
        <f>'2b. TOF AD'!D83*'3b. TOF EF_RF'!D19*(Intro!$B$23-Intro!$B$22)+'2b. TOF AD'!D122*'3b. TOF EF_RF'!D31</f>
        <v>0</v>
      </c>
      <c r="E39" s="217">
        <f>'2b. TOF AD'!E83*'3b. TOF EF_RF'!E19*(Intro!$B$23-Intro!$B$22)+'2b. TOF AD'!E122*'3b. TOF EF_RF'!E31</f>
        <v>0</v>
      </c>
      <c r="F39" s="217">
        <f>'2b. TOF AD'!F83*'3b. TOF EF_RF'!F19*(Intro!$B$23-Intro!$B$22)+'2b. TOF AD'!F122*'3b. TOF EF_RF'!F31</f>
        <v>-264130.22382691933</v>
      </c>
      <c r="G39" s="217">
        <f>'2b. TOF AD'!G83*'3b. TOF EF_RF'!G19*(Intro!$B$23-Intro!$B$22)+'2b. TOF AD'!G122*'3b. TOF EF_RF'!G31</f>
        <v>0</v>
      </c>
      <c r="H39" s="218">
        <f>SUM(C39:G39)</f>
        <v>-264130.22382691933</v>
      </c>
      <c r="J39" s="19" t="s">
        <v>51</v>
      </c>
      <c r="K39" s="272"/>
      <c r="L39" s="217">
        <f>'2b. TOF AD'!C122*'3b. TOF EF_RF'!C31</f>
        <v>0</v>
      </c>
      <c r="M39" s="217">
        <f>'2b. TOF AD'!D122*'3b. TOF EF_RF'!D31</f>
        <v>0</v>
      </c>
      <c r="N39" s="217">
        <f>'2b. TOF AD'!E122*'3b. TOF EF_RF'!E31</f>
        <v>0</v>
      </c>
      <c r="O39" s="217">
        <f>'2b. TOF AD'!F122*'3b. TOF EF_RF'!F31</f>
        <v>150463.90426808069</v>
      </c>
      <c r="P39" s="217">
        <f>'2b. TOF AD'!G122*'3b. TOF EF_RF'!G31</f>
        <v>0</v>
      </c>
      <c r="Q39" s="218">
        <f>SUM(L39:P39)</f>
        <v>150463.90426808069</v>
      </c>
    </row>
    <row r="40" spans="1:17" x14ac:dyDescent="0.35">
      <c r="A40" s="20" t="s">
        <v>52</v>
      </c>
      <c r="B40" s="271"/>
      <c r="C40" s="217">
        <f>'2b. TOF AD'!C84*'3b. TOF EF_RF'!C20*(Intro!$B$23-Intro!$B$22)+'2b. TOF AD'!C123*'3b. TOF EF_RF'!C32</f>
        <v>0</v>
      </c>
      <c r="D40" s="217">
        <f>'2b. TOF AD'!D84*'3b. TOF EF_RF'!D20*(Intro!$B$23-Intro!$B$22)+'2b. TOF AD'!D123*'3b. TOF EF_RF'!D32</f>
        <v>0</v>
      </c>
      <c r="E40" s="217">
        <f>'2b. TOF AD'!E84*'3b. TOF EF_RF'!E20*(Intro!$B$23-Intro!$B$22)+'2b. TOF AD'!E123*'3b. TOF EF_RF'!E32</f>
        <v>-0.41034999999999999</v>
      </c>
      <c r="F40" s="217">
        <f>'2b. TOF AD'!F84*'3b. TOF EF_RF'!F20*(Intro!$B$23-Intro!$B$22)+'2b. TOF AD'!F123*'3b. TOF EF_RF'!F32</f>
        <v>83.609369999999998</v>
      </c>
      <c r="G40" s="217">
        <f>'2b. TOF AD'!G84*'3b. TOF EF_RF'!G20*(Intro!$B$23-Intro!$B$22)+'2b. TOF AD'!G123*'3b. TOF EF_RF'!G32</f>
        <v>-291.43769999999995</v>
      </c>
      <c r="H40" s="218">
        <f>SUM(C40:G40)</f>
        <v>-208.23867999999993</v>
      </c>
      <c r="J40" s="20" t="s">
        <v>52</v>
      </c>
      <c r="K40" s="271"/>
      <c r="L40" s="217">
        <f>'2b. TOF AD'!C123*'3b. TOF EF_RF'!C32</f>
        <v>0</v>
      </c>
      <c r="M40" s="217">
        <f>'2b. TOF AD'!D123*'3b. TOF EF_RF'!D32</f>
        <v>0</v>
      </c>
      <c r="N40" s="217">
        <f>'2b. TOF AD'!E123*'3b. TOF EF_RF'!E32</f>
        <v>3.0900000000000004E-2</v>
      </c>
      <c r="O40" s="217">
        <f>'2b. TOF AD'!F123*'3b. TOF EF_RF'!F32</f>
        <v>91.978999999999999</v>
      </c>
      <c r="P40" s="217">
        <f>'2b. TOF AD'!G123*'3b. TOF EF_RF'!G32</f>
        <v>168.66250000000002</v>
      </c>
      <c r="Q40" s="218">
        <f>SUM(L40:P40)</f>
        <v>260.67240000000004</v>
      </c>
    </row>
    <row r="41" spans="1:17" x14ac:dyDescent="0.35">
      <c r="A41" s="165" t="s">
        <v>246</v>
      </c>
      <c r="B41" s="271"/>
      <c r="C41" s="218">
        <f t="shared" ref="C41:H41" si="2">SUM(C36:C40)</f>
        <v>-62219.340480000028</v>
      </c>
      <c r="D41" s="218">
        <f t="shared" si="2"/>
        <v>-12455.681074999999</v>
      </c>
      <c r="E41" s="218">
        <f t="shared" si="2"/>
        <v>-3459.7304750000008</v>
      </c>
      <c r="F41" s="218">
        <f t="shared" si="2"/>
        <v>-258187.24449191935</v>
      </c>
      <c r="G41" s="218">
        <f t="shared" si="2"/>
        <v>-296.33197999999993</v>
      </c>
      <c r="H41" s="218">
        <f t="shared" si="2"/>
        <v>-336618.32850191934</v>
      </c>
      <c r="J41" s="165" t="s">
        <v>246</v>
      </c>
      <c r="K41" s="271"/>
      <c r="L41" s="218">
        <f t="shared" ref="L41:Q41" si="3">SUM(L36:L40)</f>
        <v>22736.096399999999</v>
      </c>
      <c r="M41" s="218">
        <f t="shared" si="3"/>
        <v>3095.1603</v>
      </c>
      <c r="N41" s="218">
        <f t="shared" si="3"/>
        <v>2262.6731</v>
      </c>
      <c r="O41" s="218">
        <f t="shared" si="3"/>
        <v>156902.07376808068</v>
      </c>
      <c r="P41" s="218">
        <f t="shared" si="3"/>
        <v>171.73190000000002</v>
      </c>
      <c r="Q41" s="218">
        <f t="shared" si="3"/>
        <v>185167.7354680807</v>
      </c>
    </row>
    <row r="43" spans="1:17" x14ac:dyDescent="0.35">
      <c r="I43" s="245"/>
    </row>
    <row r="44" spans="1:17" x14ac:dyDescent="0.35">
      <c r="A44" s="2" t="s">
        <v>418</v>
      </c>
      <c r="J44" s="2" t="s">
        <v>576</v>
      </c>
      <c r="Q44" s="269"/>
    </row>
    <row r="45" spans="1:17" x14ac:dyDescent="0.35">
      <c r="A45" s="267" t="s">
        <v>199</v>
      </c>
      <c r="I45" s="172"/>
      <c r="J45" s="267" t="s">
        <v>575</v>
      </c>
      <c r="Q45" s="269"/>
    </row>
    <row r="46" spans="1:17" ht="16.5" x14ac:dyDescent="0.45">
      <c r="C46" s="2" t="s">
        <v>200</v>
      </c>
      <c r="L46" s="2" t="s">
        <v>200</v>
      </c>
      <c r="Q46" s="269"/>
    </row>
    <row r="47" spans="1:17" x14ac:dyDescent="0.35">
      <c r="A47" s="11"/>
      <c r="B47" s="16" t="s">
        <v>4</v>
      </c>
      <c r="C47" s="252" t="s">
        <v>6</v>
      </c>
      <c r="D47" s="257" t="s">
        <v>5</v>
      </c>
      <c r="E47" s="18" t="s">
        <v>50</v>
      </c>
      <c r="F47" s="19" t="s">
        <v>51</v>
      </c>
      <c r="G47" s="20" t="s">
        <v>52</v>
      </c>
      <c r="H47" s="270" t="s">
        <v>247</v>
      </c>
      <c r="J47" s="11"/>
      <c r="K47" s="16" t="s">
        <v>4</v>
      </c>
      <c r="L47" s="252" t="s">
        <v>6</v>
      </c>
      <c r="M47" s="257" t="s">
        <v>5</v>
      </c>
      <c r="N47" s="18" t="s">
        <v>50</v>
      </c>
      <c r="O47" s="19" t="s">
        <v>51</v>
      </c>
      <c r="P47" s="20" t="s">
        <v>52</v>
      </c>
      <c r="Q47" s="270" t="s">
        <v>247</v>
      </c>
    </row>
    <row r="48" spans="1:17" x14ac:dyDescent="0.35">
      <c r="A48" s="16" t="s">
        <v>4</v>
      </c>
      <c r="B48" s="271"/>
      <c r="C48" s="272"/>
      <c r="D48" s="271"/>
      <c r="E48" s="273"/>
      <c r="F48" s="271"/>
      <c r="G48" s="272"/>
      <c r="H48" s="272"/>
      <c r="J48" s="16" t="s">
        <v>4</v>
      </c>
      <c r="K48" s="271"/>
      <c r="L48" s="272"/>
      <c r="M48" s="271"/>
      <c r="N48" s="273"/>
      <c r="O48" s="271"/>
      <c r="P48" s="272"/>
      <c r="Q48" s="272"/>
    </row>
    <row r="49" spans="1:17" x14ac:dyDescent="0.35">
      <c r="A49" s="252" t="s">
        <v>6</v>
      </c>
      <c r="B49" s="272"/>
      <c r="C49" s="217">
        <f>C36*44/12</f>
        <v>-228071.62731833346</v>
      </c>
      <c r="D49" s="217">
        <f t="shared" ref="D49:G49" si="4">D36*44/12</f>
        <v>-2165.4772699999999</v>
      </c>
      <c r="E49" s="217">
        <f t="shared" si="4"/>
        <v>-23.272076666666663</v>
      </c>
      <c r="F49" s="217">
        <f t="shared" si="4"/>
        <v>18990.677695000002</v>
      </c>
      <c r="G49" s="217">
        <f t="shared" si="4"/>
        <v>-9.1368749999999981</v>
      </c>
      <c r="H49" s="218">
        <f>SUM(C49:G49)</f>
        <v>-211278.83584500014</v>
      </c>
      <c r="J49" s="252" t="s">
        <v>6</v>
      </c>
      <c r="K49" s="272"/>
      <c r="L49" s="217">
        <f>L36*44/12</f>
        <v>83345.859299999996</v>
      </c>
      <c r="M49" s="217">
        <f t="shared" ref="M49:P49" si="5">M36*44/12</f>
        <v>468.1933666666668</v>
      </c>
      <c r="N49" s="217">
        <f t="shared" si="5"/>
        <v>2.756966666666667</v>
      </c>
      <c r="O49" s="217">
        <f t="shared" si="5"/>
        <v>20501.559466666669</v>
      </c>
      <c r="P49" s="217">
        <f t="shared" si="5"/>
        <v>10.763500000000001</v>
      </c>
      <c r="Q49" s="218">
        <f>SUM(L49:P49)</f>
        <v>104329.13260000001</v>
      </c>
    </row>
    <row r="50" spans="1:17" x14ac:dyDescent="0.35">
      <c r="A50" s="254" t="s">
        <v>5</v>
      </c>
      <c r="B50" s="271"/>
      <c r="C50" s="217">
        <f t="shared" ref="C50:G50" si="6">C37*44/12</f>
        <v>-27.405106666666669</v>
      </c>
      <c r="D50" s="217">
        <f t="shared" si="6"/>
        <v>-43505.353338333334</v>
      </c>
      <c r="E50" s="217">
        <f t="shared" si="6"/>
        <v>-11.276558333333332</v>
      </c>
      <c r="F50" s="217">
        <f t="shared" si="6"/>
        <v>2143.5445533333336</v>
      </c>
      <c r="G50" s="217">
        <f t="shared" si="6"/>
        <v>-5.7628816666666678</v>
      </c>
      <c r="H50" s="218">
        <f>SUM(C50:G50)</f>
        <v>-41406.253331666667</v>
      </c>
      <c r="J50" s="254" t="s">
        <v>5</v>
      </c>
      <c r="K50" s="271"/>
      <c r="L50" s="217">
        <f t="shared" ref="L50:P50" si="7">L37*44/12</f>
        <v>0.60426666666666662</v>
      </c>
      <c r="M50" s="217">
        <f t="shared" si="7"/>
        <v>10880.727733333333</v>
      </c>
      <c r="N50" s="217">
        <f t="shared" si="7"/>
        <v>0.79310000000000003</v>
      </c>
      <c r="O50" s="217">
        <f t="shared" si="7"/>
        <v>2400.1849666666667</v>
      </c>
      <c r="P50" s="217">
        <f t="shared" si="7"/>
        <v>0.33990000000000004</v>
      </c>
      <c r="Q50" s="218">
        <f>SUM(L50:P50)</f>
        <v>13282.64996666667</v>
      </c>
    </row>
    <row r="51" spans="1:17" x14ac:dyDescent="0.35">
      <c r="A51" s="18" t="s">
        <v>50</v>
      </c>
      <c r="B51" s="272"/>
      <c r="C51" s="217">
        <f t="shared" ref="C51:G51" si="8">C38*44/12</f>
        <v>-38.549335000000013</v>
      </c>
      <c r="D51" s="217">
        <f t="shared" si="8"/>
        <v>0</v>
      </c>
      <c r="E51" s="217">
        <f t="shared" si="8"/>
        <v>-12649.625156666669</v>
      </c>
      <c r="F51" s="217">
        <f t="shared" si="8"/>
        <v>350.13428999999996</v>
      </c>
      <c r="G51" s="217">
        <f t="shared" si="8"/>
        <v>-3.0459366666666665</v>
      </c>
      <c r="H51" s="218">
        <f>SUM(C51:G51)</f>
        <v>-12341.086138333336</v>
      </c>
      <c r="J51" s="18" t="s">
        <v>50</v>
      </c>
      <c r="K51" s="272"/>
      <c r="L51" s="217">
        <f t="shared" ref="L51:P51" si="9">L38*44/12</f>
        <v>19.223233333333333</v>
      </c>
      <c r="M51" s="217">
        <f t="shared" si="9"/>
        <v>0</v>
      </c>
      <c r="N51" s="217">
        <f t="shared" si="9"/>
        <v>8292.8046666666669</v>
      </c>
      <c r="O51" s="217">
        <f t="shared" si="9"/>
        <v>367.62073333333336</v>
      </c>
      <c r="P51" s="217">
        <f t="shared" si="9"/>
        <v>0.15106666666666665</v>
      </c>
      <c r="Q51" s="218">
        <f>SUM(L51:P51)</f>
        <v>8679.7997000000014</v>
      </c>
    </row>
    <row r="52" spans="1:17" x14ac:dyDescent="0.35">
      <c r="A52" s="19" t="s">
        <v>51</v>
      </c>
      <c r="B52" s="272"/>
      <c r="C52" s="217">
        <f t="shared" ref="C52:G52" si="10">C39*44/12</f>
        <v>0</v>
      </c>
      <c r="D52" s="217">
        <f t="shared" si="10"/>
        <v>0</v>
      </c>
      <c r="E52" s="217">
        <f t="shared" si="10"/>
        <v>0</v>
      </c>
      <c r="F52" s="217">
        <f t="shared" si="10"/>
        <v>-968477.48736537097</v>
      </c>
      <c r="G52" s="217">
        <f t="shared" si="10"/>
        <v>0</v>
      </c>
      <c r="H52" s="218">
        <f>SUM(C52:G52)</f>
        <v>-968477.48736537097</v>
      </c>
      <c r="J52" s="19" t="s">
        <v>51</v>
      </c>
      <c r="K52" s="272"/>
      <c r="L52" s="217">
        <f t="shared" ref="L52:P52" si="11">L39*44/12</f>
        <v>0</v>
      </c>
      <c r="M52" s="217">
        <f t="shared" si="11"/>
        <v>0</v>
      </c>
      <c r="N52" s="217">
        <f t="shared" si="11"/>
        <v>0</v>
      </c>
      <c r="O52" s="217">
        <f t="shared" si="11"/>
        <v>551700.98231629585</v>
      </c>
      <c r="P52" s="217">
        <f t="shared" si="11"/>
        <v>0</v>
      </c>
      <c r="Q52" s="218">
        <f>SUM(L52:P52)</f>
        <v>551700.98231629585</v>
      </c>
    </row>
    <row r="53" spans="1:17" x14ac:dyDescent="0.35">
      <c r="A53" s="20" t="s">
        <v>52</v>
      </c>
      <c r="B53" s="271"/>
      <c r="C53" s="217">
        <f t="shared" ref="C53:G53" si="12">C40*44/12</f>
        <v>0</v>
      </c>
      <c r="D53" s="217">
        <f t="shared" si="12"/>
        <v>0</v>
      </c>
      <c r="E53" s="217">
        <f t="shared" si="12"/>
        <v>-1.5046166666666665</v>
      </c>
      <c r="F53" s="217">
        <f t="shared" si="12"/>
        <v>306.56769000000003</v>
      </c>
      <c r="G53" s="217">
        <f t="shared" si="12"/>
        <v>-1068.6048999999998</v>
      </c>
      <c r="H53" s="218">
        <f>SUM(C53:G53)</f>
        <v>-763.54182666666645</v>
      </c>
      <c r="J53" s="20" t="s">
        <v>52</v>
      </c>
      <c r="K53" s="271"/>
      <c r="L53" s="217">
        <f t="shared" ref="L53:P53" si="13">L40*44/12</f>
        <v>0</v>
      </c>
      <c r="M53" s="217">
        <f t="shared" si="13"/>
        <v>0</v>
      </c>
      <c r="N53" s="217">
        <f t="shared" si="13"/>
        <v>0.11330000000000001</v>
      </c>
      <c r="O53" s="217">
        <f t="shared" si="13"/>
        <v>337.25633333333332</v>
      </c>
      <c r="P53" s="217">
        <f t="shared" si="13"/>
        <v>618.42916666666679</v>
      </c>
      <c r="Q53" s="218">
        <f>SUM(L53:P53)</f>
        <v>955.79880000000003</v>
      </c>
    </row>
    <row r="54" spans="1:17" x14ac:dyDescent="0.35">
      <c r="A54" s="165" t="s">
        <v>247</v>
      </c>
      <c r="B54" s="271"/>
      <c r="C54" s="218">
        <f t="shared" ref="C54:H54" si="14">SUM(C49:C53)</f>
        <v>-228137.58176000012</v>
      </c>
      <c r="D54" s="218">
        <f t="shared" si="14"/>
        <v>-45670.830608333337</v>
      </c>
      <c r="E54" s="218">
        <f t="shared" si="14"/>
        <v>-12685.678408333335</v>
      </c>
      <c r="F54" s="218">
        <f t="shared" si="14"/>
        <v>-946686.56313703756</v>
      </c>
      <c r="G54" s="218">
        <f t="shared" si="14"/>
        <v>-1086.5505933333332</v>
      </c>
      <c r="H54" s="218">
        <f t="shared" si="14"/>
        <v>-1234267.2045070378</v>
      </c>
      <c r="J54" s="165" t="s">
        <v>247</v>
      </c>
      <c r="K54" s="271"/>
      <c r="L54" s="218">
        <f t="shared" ref="L54:Q54" si="15">SUM(L49:L53)</f>
        <v>83365.686799999996</v>
      </c>
      <c r="M54" s="218">
        <f t="shared" si="15"/>
        <v>11348.9211</v>
      </c>
      <c r="N54" s="218">
        <f t="shared" si="15"/>
        <v>8296.4680333333345</v>
      </c>
      <c r="O54" s="218">
        <f t="shared" si="15"/>
        <v>575307.60381629586</v>
      </c>
      <c r="P54" s="218">
        <f t="shared" si="15"/>
        <v>629.68363333333343</v>
      </c>
      <c r="Q54" s="218">
        <f t="shared" si="15"/>
        <v>678948.36338296253</v>
      </c>
    </row>
    <row r="56" spans="1:17" x14ac:dyDescent="0.35">
      <c r="J56" s="264"/>
    </row>
    <row r="57" spans="1:17" x14ac:dyDescent="0.35">
      <c r="A57" s="2" t="s">
        <v>419</v>
      </c>
      <c r="J57" s="2" t="s">
        <v>577</v>
      </c>
      <c r="Q57" s="269"/>
    </row>
    <row r="58" spans="1:17" x14ac:dyDescent="0.35">
      <c r="A58" s="267" t="s">
        <v>199</v>
      </c>
      <c r="J58" s="267" t="s">
        <v>575</v>
      </c>
      <c r="Q58" s="269"/>
    </row>
    <row r="59" spans="1:17" ht="16.5" x14ac:dyDescent="0.45">
      <c r="C59" s="2" t="s">
        <v>179</v>
      </c>
      <c r="L59" s="2" t="s">
        <v>179</v>
      </c>
      <c r="Q59" s="269"/>
    </row>
    <row r="60" spans="1:17" x14ac:dyDescent="0.35">
      <c r="A60" s="11"/>
      <c r="B60" s="16" t="s">
        <v>4</v>
      </c>
      <c r="C60" s="252" t="s">
        <v>6</v>
      </c>
      <c r="D60" s="257" t="s">
        <v>5</v>
      </c>
      <c r="E60" s="18" t="s">
        <v>50</v>
      </c>
      <c r="F60" s="19" t="s">
        <v>51</v>
      </c>
      <c r="G60" s="20" t="s">
        <v>52</v>
      </c>
      <c r="H60" s="270" t="s">
        <v>247</v>
      </c>
      <c r="J60" s="11"/>
      <c r="K60" s="16" t="s">
        <v>4</v>
      </c>
      <c r="L60" s="252" t="s">
        <v>6</v>
      </c>
      <c r="M60" s="257" t="s">
        <v>5</v>
      </c>
      <c r="N60" s="18" t="s">
        <v>50</v>
      </c>
      <c r="O60" s="19" t="s">
        <v>51</v>
      </c>
      <c r="P60" s="20" t="s">
        <v>52</v>
      </c>
      <c r="Q60" s="270" t="s">
        <v>247</v>
      </c>
    </row>
    <row r="61" spans="1:17" x14ac:dyDescent="0.35">
      <c r="A61" s="16" t="s">
        <v>4</v>
      </c>
      <c r="B61" s="271"/>
      <c r="C61" s="272"/>
      <c r="D61" s="271"/>
      <c r="E61" s="273"/>
      <c r="F61" s="271"/>
      <c r="G61" s="272"/>
      <c r="H61" s="272"/>
      <c r="J61" s="16" t="s">
        <v>4</v>
      </c>
      <c r="K61" s="271"/>
      <c r="L61" s="272"/>
      <c r="M61" s="271"/>
      <c r="N61" s="273"/>
      <c r="O61" s="271"/>
      <c r="P61" s="272"/>
      <c r="Q61" s="272"/>
    </row>
    <row r="62" spans="1:17" x14ac:dyDescent="0.35">
      <c r="A62" s="252" t="s">
        <v>6</v>
      </c>
      <c r="B62" s="272"/>
      <c r="C62" s="217">
        <f>C49/(Intro!$B$23-Intro!$B$22)</f>
        <v>-45614.32546366669</v>
      </c>
      <c r="D62" s="217">
        <f>D49/(Intro!$B$23-Intro!$B$22)</f>
        <v>-433.09545399999996</v>
      </c>
      <c r="E62" s="217">
        <f>E49/(Intro!$B$23-Intro!$B$22)</f>
        <v>-4.6544153333333327</v>
      </c>
      <c r="F62" s="217">
        <f>F49/(Intro!$B$23-Intro!$B$22)</f>
        <v>3798.1355390000003</v>
      </c>
      <c r="G62" s="217">
        <f>G49/(Intro!$B$23-Intro!$B$22)</f>
        <v>-1.8273749999999995</v>
      </c>
      <c r="H62" s="218">
        <f>H49/(Intro!$B$23-Intro!$B$22)</f>
        <v>-42255.767169000028</v>
      </c>
      <c r="J62" s="252" t="s">
        <v>6</v>
      </c>
      <c r="K62" s="272"/>
      <c r="L62" s="217">
        <f>L49/(Intro!$B$23-Intro!$B$22)</f>
        <v>16669.171859999999</v>
      </c>
      <c r="M62" s="217">
        <f>M49/(Intro!$B$23-Intro!$B$22)</f>
        <v>93.638673333333358</v>
      </c>
      <c r="N62" s="217">
        <f>N49/(Intro!$B$23-Intro!$B$22)</f>
        <v>0.5513933333333334</v>
      </c>
      <c r="O62" s="217">
        <f>O49/(Intro!$B$23-Intro!$B$22)</f>
        <v>4100.3118933333335</v>
      </c>
      <c r="P62" s="217">
        <f>P49/(Intro!$B$23-Intro!$B$22)</f>
        <v>2.1527000000000003</v>
      </c>
      <c r="Q62" s="218">
        <f>Q49/(Intro!$B$23-Intro!$B$22)</f>
        <v>20865.826520000002</v>
      </c>
    </row>
    <row r="63" spans="1:17" x14ac:dyDescent="0.35">
      <c r="A63" s="254" t="s">
        <v>5</v>
      </c>
      <c r="B63" s="271"/>
      <c r="C63" s="217">
        <f>C50/(Intro!$B$23-Intro!$B$22)</f>
        <v>-5.4810213333333335</v>
      </c>
      <c r="D63" s="217">
        <f>D50/(Intro!$B$23-Intro!$B$22)</f>
        <v>-8701.0706676666668</v>
      </c>
      <c r="E63" s="217">
        <f>E50/(Intro!$B$23-Intro!$B$22)</f>
        <v>-2.2553116666666666</v>
      </c>
      <c r="F63" s="217">
        <f>F50/(Intro!$B$23-Intro!$B$22)</f>
        <v>428.70891066666672</v>
      </c>
      <c r="G63" s="217">
        <f>G50/(Intro!$B$23-Intro!$B$22)</f>
        <v>-1.1525763333333336</v>
      </c>
      <c r="H63" s="218">
        <f>H50/(Intro!$B$23-Intro!$B$22)</f>
        <v>-8281.2506663333334</v>
      </c>
      <c r="J63" s="254" t="s">
        <v>5</v>
      </c>
      <c r="K63" s="271"/>
      <c r="L63" s="217">
        <f>L50/(Intro!$B$23-Intro!$B$22)</f>
        <v>0.12085333333333333</v>
      </c>
      <c r="M63" s="217">
        <f>M50/(Intro!$B$23-Intro!$B$22)</f>
        <v>2176.1455466666666</v>
      </c>
      <c r="N63" s="217">
        <f>N50/(Intro!$B$23-Intro!$B$22)</f>
        <v>0.15862000000000001</v>
      </c>
      <c r="O63" s="217">
        <f>O50/(Intro!$B$23-Intro!$B$22)</f>
        <v>480.03699333333333</v>
      </c>
      <c r="P63" s="217">
        <f>P50/(Intro!$B$23-Intro!$B$22)</f>
        <v>6.7980000000000013E-2</v>
      </c>
      <c r="Q63" s="218">
        <f>Q50/(Intro!$B$23-Intro!$B$22)</f>
        <v>2656.529993333334</v>
      </c>
    </row>
    <row r="64" spans="1:17" x14ac:dyDescent="0.35">
      <c r="A64" s="18" t="s">
        <v>50</v>
      </c>
      <c r="B64" s="272"/>
      <c r="C64" s="217">
        <f>C51/(Intro!$B$23-Intro!$B$22)</f>
        <v>-7.7098670000000027</v>
      </c>
      <c r="D64" s="217">
        <f>D51/(Intro!$B$23-Intro!$B$22)</f>
        <v>0</v>
      </c>
      <c r="E64" s="217">
        <f>E51/(Intro!$B$23-Intro!$B$22)</f>
        <v>-2529.9250313333337</v>
      </c>
      <c r="F64" s="217">
        <f>F51/(Intro!$B$23-Intro!$B$22)</f>
        <v>70.02685799999999</v>
      </c>
      <c r="G64" s="217">
        <f>G51/(Intro!$B$23-Intro!$B$22)</f>
        <v>-0.6091873333333333</v>
      </c>
      <c r="H64" s="218">
        <f>H51/(Intro!$B$23-Intro!$B$22)</f>
        <v>-2468.217227666667</v>
      </c>
      <c r="J64" s="18" t="s">
        <v>50</v>
      </c>
      <c r="K64" s="272"/>
      <c r="L64" s="217">
        <f>L51/(Intro!$B$23-Intro!$B$22)</f>
        <v>3.8446466666666668</v>
      </c>
      <c r="M64" s="217">
        <f>M51/(Intro!$B$23-Intro!$B$22)</f>
        <v>0</v>
      </c>
      <c r="N64" s="217">
        <f>N51/(Intro!$B$23-Intro!$B$22)</f>
        <v>1658.5609333333334</v>
      </c>
      <c r="O64" s="217">
        <f>O51/(Intro!$B$23-Intro!$B$22)</f>
        <v>73.524146666666667</v>
      </c>
      <c r="P64" s="217">
        <f>P51/(Intro!$B$23-Intro!$B$22)</f>
        <v>3.0213333333333332E-2</v>
      </c>
      <c r="Q64" s="218">
        <f>Q51/(Intro!$B$23-Intro!$B$22)</f>
        <v>1735.9599400000002</v>
      </c>
    </row>
    <row r="65" spans="1:17" x14ac:dyDescent="0.35">
      <c r="A65" s="19" t="s">
        <v>51</v>
      </c>
      <c r="B65" s="272"/>
      <c r="C65" s="217">
        <f>C52/(Intro!$B$23-Intro!$B$22)</f>
        <v>0</v>
      </c>
      <c r="D65" s="217">
        <f>D52/(Intro!$B$23-Intro!$B$22)</f>
        <v>0</v>
      </c>
      <c r="E65" s="217">
        <f>E52/(Intro!$B$23-Intro!$B$22)</f>
        <v>0</v>
      </c>
      <c r="F65" s="217">
        <f>F52/(Intro!$B$23-Intro!$B$22)</f>
        <v>-193695.49747307418</v>
      </c>
      <c r="G65" s="217">
        <f>G52/(Intro!$B$23-Intro!$B$22)</f>
        <v>0</v>
      </c>
      <c r="H65" s="218">
        <f>H52/(Intro!$B$23-Intro!$B$22)</f>
        <v>-193695.49747307418</v>
      </c>
      <c r="J65" s="19" t="s">
        <v>51</v>
      </c>
      <c r="K65" s="272"/>
      <c r="L65" s="217">
        <f>L52/(Intro!$B$23-Intro!$B$22)</f>
        <v>0</v>
      </c>
      <c r="M65" s="217">
        <f>M52/(Intro!$B$23-Intro!$B$22)</f>
        <v>0</v>
      </c>
      <c r="N65" s="217">
        <f>N52/(Intro!$B$23-Intro!$B$22)</f>
        <v>0</v>
      </c>
      <c r="O65" s="217">
        <f>O52/(Intro!$B$23-Intro!$B$22)</f>
        <v>110340.19646325917</v>
      </c>
      <c r="P65" s="217">
        <f>P52/(Intro!$B$23-Intro!$B$22)</f>
        <v>0</v>
      </c>
      <c r="Q65" s="218">
        <f>Q52/(Intro!$B$23-Intro!$B$22)</f>
        <v>110340.19646325917</v>
      </c>
    </row>
    <row r="66" spans="1:17" x14ac:dyDescent="0.35">
      <c r="A66" s="20" t="s">
        <v>52</v>
      </c>
      <c r="B66" s="271"/>
      <c r="C66" s="217">
        <f>C53/(Intro!$B$23-Intro!$B$22)</f>
        <v>0</v>
      </c>
      <c r="D66" s="217">
        <f>D53/(Intro!$B$23-Intro!$B$22)</f>
        <v>0</v>
      </c>
      <c r="E66" s="217">
        <f>E53/(Intro!$B$23-Intro!$B$22)</f>
        <v>-0.30092333333333332</v>
      </c>
      <c r="F66" s="217">
        <f>F53/(Intro!$B$23-Intro!$B$22)</f>
        <v>61.313538000000008</v>
      </c>
      <c r="G66" s="217">
        <f>G53/(Intro!$B$23-Intro!$B$22)</f>
        <v>-213.72097999999997</v>
      </c>
      <c r="H66" s="218">
        <f>H53/(Intro!$B$23-Intro!$B$22)</f>
        <v>-152.70836533333329</v>
      </c>
      <c r="J66" s="20" t="s">
        <v>52</v>
      </c>
      <c r="K66" s="271"/>
      <c r="L66" s="217">
        <f>L53/(Intro!$B$23-Intro!$B$22)</f>
        <v>0</v>
      </c>
      <c r="M66" s="217">
        <f>M53/(Intro!$B$23-Intro!$B$22)</f>
        <v>0</v>
      </c>
      <c r="N66" s="217">
        <f>N53/(Intro!$B$23-Intro!$B$22)</f>
        <v>2.2660000000000003E-2</v>
      </c>
      <c r="O66" s="217">
        <f>O53/(Intro!$B$23-Intro!$B$22)</f>
        <v>67.451266666666669</v>
      </c>
      <c r="P66" s="217">
        <f>P53/(Intro!$B$23-Intro!$B$22)</f>
        <v>123.68583333333336</v>
      </c>
      <c r="Q66" s="218">
        <f>Q53/(Intro!$B$23-Intro!$B$22)</f>
        <v>191.15976000000001</v>
      </c>
    </row>
    <row r="67" spans="1:17" x14ac:dyDescent="0.35">
      <c r="A67" s="165" t="s">
        <v>247</v>
      </c>
      <c r="B67" s="271"/>
      <c r="C67" s="218">
        <f>C54/(Intro!$B$23-Intro!$B$22)</f>
        <v>-45627.516352000021</v>
      </c>
      <c r="D67" s="218">
        <f>D54/(Intro!$B$23-Intro!$B$22)</f>
        <v>-9134.1661216666671</v>
      </c>
      <c r="E67" s="218">
        <f>E54/(Intro!$B$23-Intro!$B$22)</f>
        <v>-2537.1356816666671</v>
      </c>
      <c r="F67" s="218">
        <f>F54/(Intro!$B$23-Intro!$B$22)</f>
        <v>-189337.31262740752</v>
      </c>
      <c r="G67" s="218">
        <f>G54/(Intro!$B$23-Intro!$B$22)</f>
        <v>-217.31011866666663</v>
      </c>
      <c r="H67" s="218">
        <f>H54/(Intro!$B$23-Intro!$B$22)</f>
        <v>-246853.44090140756</v>
      </c>
      <c r="J67" s="165" t="s">
        <v>247</v>
      </c>
      <c r="K67" s="271"/>
      <c r="L67" s="218">
        <f>L54/(Intro!$B$23-Intro!$B$22)</f>
        <v>16673.137360000001</v>
      </c>
      <c r="M67" s="218">
        <f>M54/(Intro!$B$23-Intro!$B$22)</f>
        <v>2269.78422</v>
      </c>
      <c r="N67" s="218">
        <f>N54/(Intro!$B$23-Intro!$B$22)</f>
        <v>1659.2936066666668</v>
      </c>
      <c r="O67" s="218">
        <f>O54/(Intro!$B$23-Intro!$B$22)</f>
        <v>115061.52076325918</v>
      </c>
      <c r="P67" s="218">
        <f>P54/(Intro!$B$23-Intro!$B$22)</f>
        <v>125.93672666666669</v>
      </c>
      <c r="Q67" s="218">
        <f>Q54/(Intro!$B$23-Intro!$B$22)</f>
        <v>135789.67267659251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A0727-DEC7-4065-B341-0D894B37BEC3}">
  <dimension ref="A1:S53"/>
  <sheetViews>
    <sheetView topLeftCell="A11" workbookViewId="0"/>
  </sheetViews>
  <sheetFormatPr defaultRowHeight="14.5" x14ac:dyDescent="0.35"/>
  <sheetData>
    <row r="1" spans="1:10" ht="18.5" x14ac:dyDescent="0.45">
      <c r="A1" s="1" t="s">
        <v>248</v>
      </c>
    </row>
    <row r="2" spans="1:10" x14ac:dyDescent="0.35">
      <c r="A2" s="266" t="s">
        <v>256</v>
      </c>
    </row>
    <row r="3" spans="1:10" x14ac:dyDescent="0.35">
      <c r="A3" s="266"/>
    </row>
    <row r="4" spans="1:10" x14ac:dyDescent="0.35">
      <c r="A4" s="266" t="s">
        <v>257</v>
      </c>
    </row>
    <row r="5" spans="1:10" x14ac:dyDescent="0.35">
      <c r="A5" s="266"/>
    </row>
    <row r="6" spans="1:10" x14ac:dyDescent="0.35">
      <c r="A6" s="185" t="s">
        <v>397</v>
      </c>
    </row>
    <row r="7" spans="1:10" ht="31" customHeight="1" x14ac:dyDescent="0.35">
      <c r="A7" s="622" t="s">
        <v>466</v>
      </c>
      <c r="B7" s="622"/>
      <c r="C7" s="622"/>
      <c r="D7" s="622"/>
      <c r="E7" s="622"/>
      <c r="F7" s="622"/>
      <c r="G7" s="622"/>
    </row>
    <row r="8" spans="1:10" x14ac:dyDescent="0.35">
      <c r="A8" s="266"/>
    </row>
    <row r="9" spans="1:10" x14ac:dyDescent="0.35">
      <c r="A9" s="484"/>
    </row>
    <row r="10" spans="1:10" x14ac:dyDescent="0.35">
      <c r="J10" s="259"/>
    </row>
    <row r="11" spans="1:10" x14ac:dyDescent="0.35">
      <c r="A11" s="2" t="s">
        <v>422</v>
      </c>
      <c r="J11" s="259"/>
    </row>
    <row r="12" spans="1:10" x14ac:dyDescent="0.35">
      <c r="A12" s="11"/>
      <c r="C12" s="2"/>
      <c r="J12" s="259"/>
    </row>
    <row r="13" spans="1:10" x14ac:dyDescent="0.35">
      <c r="A13" s="352" t="s">
        <v>253</v>
      </c>
      <c r="B13" s="15"/>
      <c r="C13" s="16" t="s">
        <v>4</v>
      </c>
      <c r="D13" s="16"/>
      <c r="E13" s="16"/>
      <c r="F13" s="16"/>
      <c r="G13" s="17" t="s">
        <v>6</v>
      </c>
      <c r="H13" s="17"/>
      <c r="I13" s="17"/>
      <c r="J13" s="259"/>
    </row>
    <row r="14" spans="1:10" ht="21" x14ac:dyDescent="0.35">
      <c r="A14" s="22"/>
      <c r="B14" s="21"/>
      <c r="C14" s="23" t="s">
        <v>53</v>
      </c>
      <c r="D14" s="23" t="s">
        <v>54</v>
      </c>
      <c r="E14" s="23" t="s">
        <v>55</v>
      </c>
      <c r="F14" s="23" t="s">
        <v>56</v>
      </c>
      <c r="G14" s="24" t="s">
        <v>57</v>
      </c>
      <c r="H14" s="24" t="s">
        <v>58</v>
      </c>
      <c r="I14" s="24" t="s">
        <v>59</v>
      </c>
      <c r="J14" s="353" t="s">
        <v>129</v>
      </c>
    </row>
    <row r="15" spans="1:10" x14ac:dyDescent="0.35">
      <c r="A15" s="16" t="s">
        <v>4</v>
      </c>
      <c r="B15" s="28" t="s">
        <v>53</v>
      </c>
      <c r="C15" s="354"/>
      <c r="D15" s="355"/>
      <c r="E15" s="355"/>
      <c r="F15" s="354"/>
      <c r="G15" s="125">
        <f>'4a. Forest C &amp; CO2 calcs'!G58</f>
        <v>8.2366296413805813</v>
      </c>
      <c r="H15" s="125">
        <f>'4a. Forest C &amp; CO2 calcs'!H58</f>
        <v>276.23958986588349</v>
      </c>
      <c r="I15" s="125">
        <f>'4a. Forest C &amp; CO2 calcs'!I58</f>
        <v>403.74275311421957</v>
      </c>
      <c r="J15" s="356">
        <f>SUM(C15:I15)</f>
        <v>688.21897262148366</v>
      </c>
    </row>
    <row r="16" spans="1:10" x14ac:dyDescent="0.35">
      <c r="A16" s="16"/>
      <c r="B16" s="28" t="s">
        <v>54</v>
      </c>
      <c r="C16" s="355"/>
      <c r="D16" s="354"/>
      <c r="E16" s="355"/>
      <c r="F16" s="355"/>
      <c r="G16" s="125">
        <f>'4a. Forest C &amp; CO2 calcs'!G59</f>
        <v>23.441318191743573</v>
      </c>
      <c r="H16" s="125">
        <f>'4a. Forest C &amp; CO2 calcs'!H59</f>
        <v>218.88911078797736</v>
      </c>
      <c r="I16" s="125">
        <f>'4a. Forest C &amp; CO2 calcs'!I59</f>
        <v>148.53001526281858</v>
      </c>
      <c r="J16" s="356">
        <f>SUM(C16:I16)</f>
        <v>390.86044424253953</v>
      </c>
    </row>
    <row r="17" spans="1:17" x14ac:dyDescent="0.35">
      <c r="A17" s="16"/>
      <c r="B17" s="28" t="s">
        <v>55</v>
      </c>
      <c r="C17" s="355"/>
      <c r="D17" s="355"/>
      <c r="E17" s="354"/>
      <c r="F17" s="355"/>
      <c r="G17" s="125">
        <f>'4a. Forest C &amp; CO2 calcs'!G60</f>
        <v>301.96258554025997</v>
      </c>
      <c r="H17" s="125">
        <f>'4a. Forest C &amp; CO2 calcs'!H60</f>
        <v>7696.9226435981736</v>
      </c>
      <c r="I17" s="125">
        <f>'4a. Forest C &amp; CO2 calcs'!I60</f>
        <v>2369.7610098478135</v>
      </c>
      <c r="J17" s="356">
        <f>SUM(C17:I17)</f>
        <v>10368.646238986246</v>
      </c>
    </row>
    <row r="18" spans="1:17" ht="21" x14ac:dyDescent="0.35">
      <c r="A18" s="16"/>
      <c r="B18" s="28" t="s">
        <v>56</v>
      </c>
      <c r="C18" s="355"/>
      <c r="D18" s="355"/>
      <c r="E18" s="355"/>
      <c r="F18" s="354"/>
      <c r="G18" s="125">
        <f>'4a. Forest C &amp; CO2 calcs'!G61</f>
        <v>0</v>
      </c>
      <c r="H18" s="125">
        <f>'4a. Forest C &amp; CO2 calcs'!H61</f>
        <v>0</v>
      </c>
      <c r="I18" s="125">
        <f>'4a. Forest C &amp; CO2 calcs'!I61</f>
        <v>0</v>
      </c>
      <c r="J18" s="356">
        <f>SUM(C18:I18)</f>
        <v>0</v>
      </c>
      <c r="K18" s="245"/>
    </row>
    <row r="19" spans="1:17" x14ac:dyDescent="0.35">
      <c r="A19" s="17" t="s">
        <v>6</v>
      </c>
      <c r="B19" s="32" t="s">
        <v>57</v>
      </c>
      <c r="C19" s="125">
        <f>'4a. Forest C &amp; CO2 calcs'!C62</f>
        <v>-13.111248915160484</v>
      </c>
      <c r="D19" s="125">
        <f>'4a. Forest C &amp; CO2 calcs'!D62</f>
        <v>-82.789548302401229</v>
      </c>
      <c r="E19" s="125">
        <f>'4a. Forest C &amp; CO2 calcs'!E62</f>
        <v>-171.9816984846224</v>
      </c>
      <c r="F19" s="125">
        <f>'4a. Forest C &amp; CO2 calcs'!F62</f>
        <v>-2.5734154096126476</v>
      </c>
      <c r="G19" s="354"/>
      <c r="H19" s="354"/>
      <c r="I19" s="357"/>
      <c r="J19" s="356"/>
    </row>
    <row r="20" spans="1:17" x14ac:dyDescent="0.35">
      <c r="A20" s="17"/>
      <c r="B20" s="32" t="s">
        <v>58</v>
      </c>
      <c r="C20" s="125">
        <f>'4a. Forest C &amp; CO2 calcs'!C63</f>
        <v>-9.9609175678735102</v>
      </c>
      <c r="D20" s="125">
        <f>'4a. Forest C &amp; CO2 calcs'!D63</f>
        <v>-48.917522503726168</v>
      </c>
      <c r="E20" s="125">
        <f>'4a. Forest C &amp; CO2 calcs'!E63</f>
        <v>-274.5758395621441</v>
      </c>
      <c r="F20" s="125">
        <f>'4a. Forest C &amp; CO2 calcs'!F63</f>
        <v>0</v>
      </c>
      <c r="G20" s="354"/>
      <c r="H20" s="354"/>
      <c r="I20" s="357"/>
      <c r="J20" s="356"/>
    </row>
    <row r="21" spans="1:17" x14ac:dyDescent="0.35">
      <c r="A21" s="17"/>
      <c r="B21" s="32" t="s">
        <v>59</v>
      </c>
      <c r="C21" s="125">
        <f>'4a. Forest C &amp; CO2 calcs'!C64</f>
        <v>-33.032991350590002</v>
      </c>
      <c r="D21" s="125">
        <f>'4a. Forest C &amp; CO2 calcs'!D64</f>
        <v>-654.71815843237709</v>
      </c>
      <c r="E21" s="125">
        <f>'4a. Forest C &amp; CO2 calcs'!E64</f>
        <v>-1738.6959858322557</v>
      </c>
      <c r="F21" s="125">
        <f>'4a. Forest C &amp; CO2 calcs'!F64</f>
        <v>-1.0293564354752953</v>
      </c>
      <c r="G21" s="354"/>
      <c r="H21" s="354"/>
      <c r="I21" s="357"/>
      <c r="J21" s="356"/>
    </row>
    <row r="22" spans="1:17" x14ac:dyDescent="0.35">
      <c r="A22" s="259"/>
      <c r="B22" s="358" t="s">
        <v>129</v>
      </c>
      <c r="C22" s="359">
        <f>SUM(C15:C21)</f>
        <v>-56.105157833623998</v>
      </c>
      <c r="D22" s="359">
        <f>SUM(D15:D21)</f>
        <v>-786.42522923850447</v>
      </c>
      <c r="E22" s="359">
        <f>SUM(E15:E21)</f>
        <v>-2185.2535238790224</v>
      </c>
      <c r="F22" s="359">
        <f>SUM(F15:F21)</f>
        <v>-3.6027718450879429</v>
      </c>
      <c r="G22" s="359"/>
      <c r="H22" s="359"/>
      <c r="I22" s="359"/>
      <c r="J22" s="360">
        <f>SUM(C15:I21)</f>
        <v>8416.3389730540312</v>
      </c>
      <c r="K22" s="259"/>
    </row>
    <row r="23" spans="1:17" x14ac:dyDescent="0.35">
      <c r="J23" s="259"/>
    </row>
    <row r="24" spans="1:17" x14ac:dyDescent="0.35">
      <c r="J24" s="259"/>
    </row>
    <row r="25" spans="1:17" x14ac:dyDescent="0.35">
      <c r="A25" s="2" t="s">
        <v>420</v>
      </c>
      <c r="J25" s="259"/>
    </row>
    <row r="26" spans="1:17" x14ac:dyDescent="0.35">
      <c r="J26" s="259"/>
    </row>
    <row r="27" spans="1:17" x14ac:dyDescent="0.35">
      <c r="A27" s="266" t="s">
        <v>254</v>
      </c>
      <c r="J27" s="259"/>
      <c r="K27" s="82"/>
      <c r="L27" s="82" t="s">
        <v>318</v>
      </c>
    </row>
    <row r="28" spans="1:17" x14ac:dyDescent="0.35">
      <c r="A28" s="352" t="s">
        <v>255</v>
      </c>
      <c r="B28" s="15"/>
      <c r="C28" s="16" t="s">
        <v>4</v>
      </c>
      <c r="D28" s="16"/>
      <c r="E28" s="16"/>
      <c r="F28" s="16"/>
      <c r="G28" s="17" t="s">
        <v>6</v>
      </c>
      <c r="H28" s="17"/>
      <c r="I28" s="17"/>
      <c r="J28" s="375" t="s">
        <v>263</v>
      </c>
      <c r="M28" s="234" t="s">
        <v>270</v>
      </c>
      <c r="N28" s="234"/>
      <c r="O28" t="s">
        <v>274</v>
      </c>
    </row>
    <row r="29" spans="1:17" ht="21.5" thickBot="1" x14ac:dyDescent="0.4">
      <c r="A29" s="22"/>
      <c r="B29" s="21"/>
      <c r="C29" s="23" t="s">
        <v>53</v>
      </c>
      <c r="D29" s="23" t="s">
        <v>54</v>
      </c>
      <c r="E29" s="23" t="s">
        <v>55</v>
      </c>
      <c r="F29" s="23" t="s">
        <v>56</v>
      </c>
      <c r="G29" s="24" t="s">
        <v>57</v>
      </c>
      <c r="H29" s="24" t="s">
        <v>58</v>
      </c>
      <c r="I29" s="24" t="s">
        <v>59</v>
      </c>
      <c r="J29" s="259"/>
      <c r="M29" s="39">
        <f>G30*'2a. Forest AD'!G13</f>
        <v>0.11994550781299999</v>
      </c>
      <c r="N29" s="39">
        <f>H30*'2a. Forest AD'!H13</f>
        <v>4.0227252319389883</v>
      </c>
      <c r="O29" s="39">
        <f>I30*'2a. Forest AD'!I13</f>
        <v>5.87948367919899</v>
      </c>
      <c r="P29" s="39">
        <f>SUM(M29:O29)</f>
        <v>10.022154418950979</v>
      </c>
      <c r="Q29" t="s">
        <v>264</v>
      </c>
    </row>
    <row r="30" spans="1:17" ht="15" thickTop="1" x14ac:dyDescent="0.35">
      <c r="A30" s="16" t="s">
        <v>4</v>
      </c>
      <c r="B30" s="28" t="s">
        <v>53</v>
      </c>
      <c r="C30" s="354"/>
      <c r="D30" s="355"/>
      <c r="E30" s="355"/>
      <c r="F30" s="357"/>
      <c r="G30" s="411">
        <v>1</v>
      </c>
      <c r="H30" s="412">
        <v>1</v>
      </c>
      <c r="I30" s="413">
        <v>1</v>
      </c>
      <c r="J30" s="259"/>
      <c r="M30" s="39">
        <f>G31*'2a. Forest AD'!G14</f>
        <v>0.35972032470699999</v>
      </c>
      <c r="N30" s="39">
        <f>H31*'2a. Forest AD'!H14</f>
        <v>3.358977569581</v>
      </c>
      <c r="O30" s="39">
        <f>I31*'2a. Forest AD'!I14</f>
        <v>2.2792773376496998</v>
      </c>
      <c r="P30" s="39">
        <f t="shared" ref="P30:P32" si="0">SUM(M30:O30)</f>
        <v>5.9979752319376995</v>
      </c>
      <c r="Q30" t="s">
        <v>265</v>
      </c>
    </row>
    <row r="31" spans="1:17" x14ac:dyDescent="0.35">
      <c r="A31" s="16"/>
      <c r="B31" s="28" t="s">
        <v>54</v>
      </c>
      <c r="C31" s="355"/>
      <c r="D31" s="354"/>
      <c r="E31" s="355"/>
      <c r="F31" s="409"/>
      <c r="G31" s="414">
        <v>1</v>
      </c>
      <c r="H31" s="415">
        <v>1</v>
      </c>
      <c r="I31" s="416">
        <v>1</v>
      </c>
      <c r="J31" s="259"/>
      <c r="M31" s="39">
        <f>G32*'2a. Forest AD'!G15</f>
        <v>3.716066894533999</v>
      </c>
      <c r="N31" s="39">
        <f>H32*'2a. Forest AD'!H15</f>
        <v>94.721269439689593</v>
      </c>
      <c r="O31" s="39">
        <f>I32*'2a. Forest AD'!I15</f>
        <v>29.163183978231</v>
      </c>
      <c r="P31" s="41">
        <f t="shared" si="0"/>
        <v>127.60052031245459</v>
      </c>
      <c r="Q31" t="s">
        <v>266</v>
      </c>
    </row>
    <row r="32" spans="1:17" x14ac:dyDescent="0.35">
      <c r="A32" s="16"/>
      <c r="B32" s="28" t="s">
        <v>55</v>
      </c>
      <c r="C32" s="355"/>
      <c r="D32" s="355"/>
      <c r="E32" s="354"/>
      <c r="F32" s="409"/>
      <c r="G32" s="414">
        <v>1</v>
      </c>
      <c r="H32" s="415">
        <v>1</v>
      </c>
      <c r="I32" s="416">
        <v>1</v>
      </c>
      <c r="J32" s="259"/>
      <c r="M32" s="39">
        <f>G33*'2a. Forest AD'!G16</f>
        <v>0</v>
      </c>
      <c r="N32" s="39">
        <f>H33*'2a. Forest AD'!H16</f>
        <v>0</v>
      </c>
      <c r="O32" s="39">
        <f>I33*'2a. Forest AD'!I16</f>
        <v>0</v>
      </c>
      <c r="P32" s="41">
        <f t="shared" si="0"/>
        <v>0</v>
      </c>
      <c r="Q32" t="s">
        <v>317</v>
      </c>
    </row>
    <row r="33" spans="1:19" ht="21.5" thickBot="1" x14ac:dyDescent="0.4">
      <c r="A33" s="16"/>
      <c r="B33" s="28" t="s">
        <v>56</v>
      </c>
      <c r="C33" s="422"/>
      <c r="D33" s="422"/>
      <c r="E33" s="422"/>
      <c r="F33" s="423"/>
      <c r="G33" s="417">
        <v>1</v>
      </c>
      <c r="H33" s="418">
        <v>1</v>
      </c>
      <c r="I33" s="419">
        <v>1</v>
      </c>
      <c r="J33" s="259"/>
      <c r="K33" s="245"/>
      <c r="N33" s="428"/>
      <c r="P33" s="112">
        <f>SUM(P29:P32)</f>
        <v>143.62064996334328</v>
      </c>
      <c r="Q33" s="368" t="s">
        <v>271</v>
      </c>
      <c r="R33" s="385"/>
      <c r="S33" s="367"/>
    </row>
    <row r="34" spans="1:19" ht="15" thickTop="1" x14ac:dyDescent="0.35">
      <c r="A34" s="17" t="s">
        <v>6</v>
      </c>
      <c r="B34" s="32" t="s">
        <v>57</v>
      </c>
      <c r="C34" s="411">
        <v>1</v>
      </c>
      <c r="D34" s="424">
        <v>1</v>
      </c>
      <c r="E34" s="424">
        <v>1</v>
      </c>
      <c r="F34" s="413">
        <v>1</v>
      </c>
      <c r="G34" s="420"/>
      <c r="H34" s="410"/>
      <c r="I34" s="410"/>
      <c r="J34" s="259"/>
      <c r="N34" s="428"/>
      <c r="P34" s="112">
        <f>SUM('2a. Forest AD'!G13:I16)-P33</f>
        <v>0</v>
      </c>
      <c r="Q34" s="368" t="s">
        <v>110</v>
      </c>
      <c r="R34" s="385"/>
      <c r="S34" s="367"/>
    </row>
    <row r="35" spans="1:19" ht="26.5" x14ac:dyDescent="0.35">
      <c r="A35" s="17"/>
      <c r="B35" s="32" t="s">
        <v>58</v>
      </c>
      <c r="C35" s="425">
        <v>1</v>
      </c>
      <c r="D35" s="426">
        <v>1</v>
      </c>
      <c r="E35" s="415">
        <v>1</v>
      </c>
      <c r="F35" s="416">
        <v>1</v>
      </c>
      <c r="G35" s="421"/>
      <c r="H35" s="354"/>
      <c r="I35" s="354"/>
      <c r="J35" s="259"/>
      <c r="L35" s="429" t="s">
        <v>319</v>
      </c>
      <c r="M35" s="429" t="s">
        <v>320</v>
      </c>
      <c r="N35" s="430" t="s">
        <v>321</v>
      </c>
      <c r="O35" s="429" t="s">
        <v>322</v>
      </c>
      <c r="P35" s="431" t="s">
        <v>77</v>
      </c>
    </row>
    <row r="36" spans="1:19" ht="15" thickBot="1" x14ac:dyDescent="0.4">
      <c r="A36" s="17"/>
      <c r="B36" s="32" t="s">
        <v>59</v>
      </c>
      <c r="C36" s="417">
        <v>1</v>
      </c>
      <c r="D36" s="427">
        <v>1</v>
      </c>
      <c r="E36" s="427">
        <v>1</v>
      </c>
      <c r="F36" s="419">
        <v>1</v>
      </c>
      <c r="G36" s="421"/>
      <c r="H36" s="354"/>
      <c r="I36" s="354"/>
      <c r="J36" s="259"/>
      <c r="L36" s="39">
        <f>C34*'2a. Forest AD'!C17</f>
        <v>1.4994875244099899</v>
      </c>
      <c r="M36" s="39">
        <f>D34*'2a. Forest AD'!D17</f>
        <v>8.2180182251009999</v>
      </c>
      <c r="N36" s="39">
        <f>E34*'2a. Forest AD'!E17</f>
        <v>14.690198162858001</v>
      </c>
      <c r="O36" s="39">
        <f>F34*'2a. Forest AD'!F17</f>
        <v>0.29965944824200003</v>
      </c>
      <c r="P36" s="39">
        <f>SUM(L36:O36)</f>
        <v>24.707363360610991</v>
      </c>
    </row>
    <row r="37" spans="1:19" ht="15" thickTop="1" x14ac:dyDescent="0.35">
      <c r="J37" s="259"/>
      <c r="L37" s="39">
        <f>C35*'2a. Forest AD'!C18</f>
        <v>1.1391951843299899</v>
      </c>
      <c r="M37" s="39">
        <f>D35*'2a. Forest AD'!D18</f>
        <v>4.8557468872039999</v>
      </c>
      <c r="N37" s="39">
        <f>E35*'2a. Forest AD'!E18</f>
        <v>23.453504235868799</v>
      </c>
      <c r="O37" s="39">
        <f>F35*'2a. Forest AD'!F18</f>
        <v>0</v>
      </c>
      <c r="P37" s="39">
        <f t="shared" ref="P37:P38" si="1">SUM(L37:O37)</f>
        <v>29.44844630740279</v>
      </c>
    </row>
    <row r="38" spans="1:19" x14ac:dyDescent="0.35">
      <c r="J38" s="259"/>
      <c r="L38" s="39">
        <f>C36*'2a. Forest AD'!C19</f>
        <v>3.77786729125999</v>
      </c>
      <c r="M38" s="39">
        <f>D36*'2a. Forest AD'!D19</f>
        <v>64.989915618923405</v>
      </c>
      <c r="N38" s="39">
        <f>E36*'2a. Forest AD'!E19</f>
        <v>148.51457336389419</v>
      </c>
      <c r="O38" s="39">
        <f>F36*'2a. Forest AD'!F19</f>
        <v>0.119862646484</v>
      </c>
      <c r="P38" s="384">
        <f t="shared" si="1"/>
        <v>217.40221892056158</v>
      </c>
    </row>
    <row r="39" spans="1:19" x14ac:dyDescent="0.35">
      <c r="A39" s="490" t="s">
        <v>421</v>
      </c>
      <c r="J39" s="259"/>
      <c r="P39" s="112">
        <f>SUM(P36:P38)</f>
        <v>271.55802858857538</v>
      </c>
      <c r="Q39" s="368" t="s">
        <v>272</v>
      </c>
      <c r="R39" s="385"/>
      <c r="S39" s="367"/>
    </row>
    <row r="40" spans="1:19" ht="45.65" customHeight="1" x14ac:dyDescent="0.35">
      <c r="A40" s="631" t="s">
        <v>423</v>
      </c>
      <c r="B40" s="631"/>
      <c r="C40" s="631"/>
      <c r="D40" s="631"/>
      <c r="E40" s="631"/>
      <c r="F40" s="631"/>
      <c r="G40" s="631"/>
      <c r="H40" s="631"/>
      <c r="I40" s="631"/>
      <c r="J40" s="631"/>
      <c r="K40" s="631"/>
      <c r="P40" s="112">
        <f>SUM('2a. Forest AD'!C17:F19)-P39</f>
        <v>0</v>
      </c>
      <c r="Q40" s="368" t="s">
        <v>273</v>
      </c>
      <c r="R40" s="385"/>
      <c r="S40" s="367"/>
    </row>
    <row r="41" spans="1:19" x14ac:dyDescent="0.35">
      <c r="A41" s="352" t="s">
        <v>253</v>
      </c>
      <c r="B41" s="15"/>
      <c r="C41" s="16" t="s">
        <v>4</v>
      </c>
      <c r="D41" s="16"/>
      <c r="E41" s="16"/>
      <c r="F41" s="16"/>
      <c r="G41" s="17" t="s">
        <v>6</v>
      </c>
      <c r="H41" s="17"/>
      <c r="I41" s="17"/>
      <c r="J41" s="259"/>
    </row>
    <row r="42" spans="1:19" ht="21" x14ac:dyDescent="0.35">
      <c r="A42" s="22"/>
      <c r="B42" s="21"/>
      <c r="C42" s="23" t="s">
        <v>53</v>
      </c>
      <c r="D42" s="23" t="s">
        <v>54</v>
      </c>
      <c r="E42" s="23" t="s">
        <v>55</v>
      </c>
      <c r="F42" s="23" t="s">
        <v>56</v>
      </c>
      <c r="G42" s="24" t="s">
        <v>57</v>
      </c>
      <c r="H42" s="24" t="s">
        <v>58</v>
      </c>
      <c r="I42" s="24" t="s">
        <v>59</v>
      </c>
      <c r="J42" s="353" t="s">
        <v>129</v>
      </c>
    </row>
    <row r="43" spans="1:19" x14ac:dyDescent="0.35">
      <c r="A43" s="16" t="s">
        <v>4</v>
      </c>
      <c r="B43" s="28" t="s">
        <v>53</v>
      </c>
      <c r="C43" s="454">
        <f>(1-G30)*G15+(1-H30)*H15+(1-I30)*I15+(1-C34)*C19+(1-C35)*C20+(1-C36)*C21</f>
        <v>0</v>
      </c>
      <c r="D43" s="355"/>
      <c r="E43" s="355"/>
      <c r="F43" s="354"/>
      <c r="G43" s="175">
        <f>G15*G30</f>
        <v>8.2366296413805813</v>
      </c>
      <c r="H43" s="175">
        <f t="shared" ref="H43:I43" si="2">H15*H30</f>
        <v>276.23958986588349</v>
      </c>
      <c r="I43" s="175">
        <f t="shared" si="2"/>
        <v>403.74275311421957</v>
      </c>
      <c r="J43" s="356">
        <f>SUM(C43:I43)</f>
        <v>688.21897262148366</v>
      </c>
      <c r="L43" s="13"/>
    </row>
    <row r="44" spans="1:19" x14ac:dyDescent="0.35">
      <c r="A44" s="16"/>
      <c r="B44" s="28" t="s">
        <v>54</v>
      </c>
      <c r="C44" s="355"/>
      <c r="D44" s="454">
        <f>(1-G31)*G16+(1-H31)*H16+(1-I31)*I16+(1-D34)*D19+(1-D35)*D20+(1-D36)*D21</f>
        <v>0</v>
      </c>
      <c r="E44" s="355"/>
      <c r="F44" s="355"/>
      <c r="G44" s="175">
        <f t="shared" ref="G44:I46" si="3">G16*G31</f>
        <v>23.441318191743573</v>
      </c>
      <c r="H44" s="175">
        <f t="shared" si="3"/>
        <v>218.88911078797736</v>
      </c>
      <c r="I44" s="175">
        <f t="shared" si="3"/>
        <v>148.53001526281858</v>
      </c>
      <c r="J44" s="356">
        <f>SUM(C44:I44)</f>
        <v>390.86044424253953</v>
      </c>
      <c r="M44" s="13"/>
    </row>
    <row r="45" spans="1:19" x14ac:dyDescent="0.35">
      <c r="A45" s="16"/>
      <c r="B45" s="28" t="s">
        <v>55</v>
      </c>
      <c r="C45" s="355"/>
      <c r="D45" s="355"/>
      <c r="E45" s="454">
        <f>(1-G32)*G17+(1-H32)*H17+(1-I32)*I17+(1-E34)*E19+(1-E35)*E20+(1-E36)*E21</f>
        <v>0</v>
      </c>
      <c r="F45" s="355"/>
      <c r="G45" s="175">
        <f t="shared" si="3"/>
        <v>301.96258554025997</v>
      </c>
      <c r="H45" s="175">
        <f t="shared" si="3"/>
        <v>7696.9226435981736</v>
      </c>
      <c r="I45" s="175">
        <f t="shared" si="3"/>
        <v>2369.7610098478135</v>
      </c>
      <c r="J45" s="356">
        <f>SUM(C45:I45)</f>
        <v>10368.646238986246</v>
      </c>
    </row>
    <row r="46" spans="1:19" ht="21" x14ac:dyDescent="0.35">
      <c r="A46" s="16"/>
      <c r="B46" s="28" t="s">
        <v>56</v>
      </c>
      <c r="C46" s="355"/>
      <c r="D46" s="355"/>
      <c r="E46" s="355"/>
      <c r="F46" s="454">
        <f>(1-G33)*G18+(1-H33)*H18+(1-I33)*I18+(1-F34)*F19+(1-F35)*F20+(1-F36)*F21</f>
        <v>0</v>
      </c>
      <c r="G46" s="175">
        <f t="shared" si="3"/>
        <v>0</v>
      </c>
      <c r="H46" s="175">
        <f t="shared" si="3"/>
        <v>0</v>
      </c>
      <c r="I46" s="175">
        <f t="shared" si="3"/>
        <v>0</v>
      </c>
      <c r="J46" s="356">
        <f>SUM(C46:I46)</f>
        <v>0</v>
      </c>
      <c r="K46" s="245"/>
      <c r="L46" s="136"/>
      <c r="M46" s="13"/>
    </row>
    <row r="47" spans="1:19" x14ac:dyDescent="0.35">
      <c r="A47" s="17" t="s">
        <v>6</v>
      </c>
      <c r="B47" s="32" t="s">
        <v>57</v>
      </c>
      <c r="C47" s="175">
        <f>C19*C34</f>
        <v>-13.111248915160484</v>
      </c>
      <c r="D47" s="175">
        <f>D19*D34</f>
        <v>-82.789548302401229</v>
      </c>
      <c r="E47" s="175">
        <f>E19*E34</f>
        <v>-171.9816984846224</v>
      </c>
      <c r="F47" s="175">
        <f t="shared" ref="F47" si="4">F19*F34</f>
        <v>-2.5734154096126476</v>
      </c>
      <c r="G47" s="354"/>
      <c r="H47" s="354"/>
      <c r="I47" s="354"/>
      <c r="J47" s="356"/>
      <c r="L47" s="136"/>
      <c r="M47" s="13"/>
    </row>
    <row r="48" spans="1:19" x14ac:dyDescent="0.35">
      <c r="A48" s="17"/>
      <c r="B48" s="32" t="s">
        <v>58</v>
      </c>
      <c r="C48" s="175">
        <f t="shared" ref="C48:F49" si="5">C20*C35</f>
        <v>-9.9609175678735102</v>
      </c>
      <c r="D48" s="175">
        <f t="shared" si="5"/>
        <v>-48.917522503726168</v>
      </c>
      <c r="E48" s="175">
        <f t="shared" si="5"/>
        <v>-274.5758395621441</v>
      </c>
      <c r="F48" s="175">
        <f t="shared" si="5"/>
        <v>0</v>
      </c>
      <c r="G48" s="354"/>
      <c r="H48" s="354"/>
      <c r="I48" s="354"/>
      <c r="J48" s="356"/>
      <c r="L48" s="455"/>
      <c r="M48" s="13"/>
    </row>
    <row r="49" spans="1:11" x14ac:dyDescent="0.35">
      <c r="A49" s="17"/>
      <c r="B49" s="32" t="s">
        <v>59</v>
      </c>
      <c r="C49" s="175">
        <f t="shared" si="5"/>
        <v>-33.032991350590002</v>
      </c>
      <c r="D49" s="175">
        <f t="shared" si="5"/>
        <v>-654.71815843237709</v>
      </c>
      <c r="E49" s="175">
        <f t="shared" si="5"/>
        <v>-1738.6959858322557</v>
      </c>
      <c r="F49" s="175">
        <f t="shared" si="5"/>
        <v>-1.0293564354752953</v>
      </c>
      <c r="G49" s="354"/>
      <c r="H49" s="354"/>
      <c r="I49" s="354"/>
      <c r="J49" s="356"/>
    </row>
    <row r="50" spans="1:11" x14ac:dyDescent="0.35">
      <c r="A50" s="259"/>
      <c r="B50" s="353" t="s">
        <v>129</v>
      </c>
      <c r="C50" s="359">
        <f>SUM(C43:C49)</f>
        <v>-56.105157833623998</v>
      </c>
      <c r="D50" s="359">
        <f>SUM(D43:D49)</f>
        <v>-786.42522923850447</v>
      </c>
      <c r="E50" s="359">
        <f>SUM(E43:E49)</f>
        <v>-2185.2535238790224</v>
      </c>
      <c r="F50" s="359">
        <f>SUM(F43:F49)</f>
        <v>-3.6027718450879429</v>
      </c>
      <c r="G50" s="359"/>
      <c r="H50" s="359"/>
      <c r="I50" s="359"/>
      <c r="J50" s="360">
        <f>SUM(C43:I49)</f>
        <v>8416.3389730540312</v>
      </c>
      <c r="K50" s="259"/>
    </row>
    <row r="51" spans="1:11" x14ac:dyDescent="0.35">
      <c r="J51" s="259"/>
    </row>
    <row r="53" spans="1:11" x14ac:dyDescent="0.35">
      <c r="F53" s="39"/>
    </row>
  </sheetData>
  <mergeCells count="2">
    <mergeCell ref="A7:G7"/>
    <mergeCell ref="A40:K40"/>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vt:lpstr>
      <vt:lpstr>1. Stratification</vt:lpstr>
      <vt:lpstr>2a. Forest AD</vt:lpstr>
      <vt:lpstr>2b. TOF AD</vt:lpstr>
      <vt:lpstr>3a. Forest EF_RF</vt:lpstr>
      <vt:lpstr>3b. TOF EF_RF</vt:lpstr>
      <vt:lpstr>4a. Forest C &amp; CO2 calcs</vt:lpstr>
      <vt:lpstr>4b. TOF calcs</vt:lpstr>
      <vt:lpstr>4c. F to NF correction</vt:lpstr>
      <vt:lpstr>5. Other calcs</vt:lpstr>
      <vt:lpstr>6. HWP calcs</vt:lpstr>
      <vt:lpstr>7.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Birdsey</dc:creator>
  <cp:lastModifiedBy>Richard Birdsey</cp:lastModifiedBy>
  <dcterms:created xsi:type="dcterms:W3CDTF">2019-04-09T13:49:16Z</dcterms:created>
  <dcterms:modified xsi:type="dcterms:W3CDTF">2019-11-22T21:08:39Z</dcterms:modified>
</cp:coreProperties>
</file>